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300" yWindow="4380" windowWidth="9720" windowHeight="7260" firstSheet="3" activeTab="6"/>
  </bookViews>
  <sheets>
    <sheet name="Система Elite" sheetId="15" r:id="rId1"/>
    <sheet name="Фурнитура Elite" sheetId="17" r:id="rId2"/>
    <sheet name="Направляющие King Slide" sheetId="18" r:id="rId3"/>
    <sheet name="Система Soft-L" sheetId="19" r:id="rId4"/>
    <sheet name="Система Lux-L" sheetId="20" r:id="rId5"/>
    <sheet name="Рамочный МДФ профиль" sheetId="21" r:id="rId6"/>
    <sheet name="Компланарная система OPK" sheetId="24" r:id="rId7"/>
  </sheets>
  <definedNames>
    <definedName name="Доставка" localSheetId="1">#REF!</definedName>
    <definedName name="Доставка">#REF!</definedName>
    <definedName name="ДоставкаИзКитая" localSheetId="1">'Фурнитура Elite'!#REF!</definedName>
    <definedName name="ДоставкаИзКитая">'Система Elite'!#REF!</definedName>
    <definedName name="КурсДол" localSheetId="0">'Система Elite'!#REF!</definedName>
    <definedName name="КурсДол" localSheetId="1">'Фурнитура Elite'!#REF!</definedName>
    <definedName name="КурсДол">#REF!</definedName>
    <definedName name="КурсЕвро" localSheetId="0">'Система Elite'!#REF!</definedName>
    <definedName name="КурсЕвро" localSheetId="1">'Фурнитура Elite'!#REF!</definedName>
    <definedName name="КурсЕвро">#REF!</definedName>
    <definedName name="КфАлюмПроф" localSheetId="0">'Система Elite'!#REF!</definedName>
    <definedName name="КфАлюмПроф" localSheetId="1">'Фурнитура Elite'!#REF!</definedName>
    <definedName name="КфЗащПл" localSheetId="1">'Фурнитура Elite'!#REF!</definedName>
    <definedName name="КфЗащПл">'Система Elite'!#REF!</definedName>
    <definedName name="КфЗащПл1" localSheetId="1">'Фурнитура Elite'!#REF!</definedName>
    <definedName name="КфЗащПл1">'Система Elite'!#REF!</definedName>
    <definedName name="КфКлея" localSheetId="1">'Фурнитура Elite'!#REF!</definedName>
    <definedName name="КфКлея">'Система Elite'!#REF!</definedName>
    <definedName name="КфПленки" localSheetId="1">'Фурнитура Elite'!#REF!</definedName>
    <definedName name="КфПленки">'Система Elite'!#REF!</definedName>
    <definedName name="КфРозн" localSheetId="1">#REF!</definedName>
    <definedName name="КфРозн">#REF!</definedName>
    <definedName name="КфУкутРозн" localSheetId="1">#REF!</definedName>
    <definedName name="КфУкутРозн">#REF!</definedName>
    <definedName name="КфШпона" localSheetId="1">'Фурнитура Elite'!#REF!</definedName>
    <definedName name="КфШпона">'Система Elite'!#REF!</definedName>
    <definedName name="МДФ18" localSheetId="1">#REF!</definedName>
    <definedName name="МДФ18">#REF!</definedName>
    <definedName name="МДФ22" localSheetId="1">#REF!</definedName>
    <definedName name="МДФ22">#REF!</definedName>
    <definedName name="_xlnm.Print_Area" localSheetId="6">'Компланарная система OPK'!$A$1:$Q$133</definedName>
    <definedName name="_xlnm.Print_Area" localSheetId="2">'Направляющие King Slide'!$A$1:$AK$58</definedName>
    <definedName name="_xlnm.Print_Area" localSheetId="5">'Рамочный МДФ профиль'!$A$1:$AJ$71</definedName>
    <definedName name="_xlnm.Print_Area" localSheetId="0">'Система Elite'!$A$1:$N$151</definedName>
    <definedName name="_xlnm.Print_Area" localSheetId="4">'Система Lux-L'!$A$1:$AJ$77</definedName>
    <definedName name="_xlnm.Print_Area" localSheetId="3">'Система Soft-L'!$A$1:$AJ$144</definedName>
    <definedName name="_xlnm.Print_Area" localSheetId="1">'Фурнитура Elite'!$A$1:$I$20</definedName>
    <definedName name="ОкутПгнжВСут" localSheetId="1">'Фурнитура Elite'!#REF!</definedName>
    <definedName name="ОкутПгнжВСут">'Система Elite'!#REF!</definedName>
    <definedName name="РасходКлея" localSheetId="1">'Фурнитура Elite'!#REF!</definedName>
    <definedName name="РасходКлея">'Система Elite'!#REF!</definedName>
    <definedName name="РасходКлея2" localSheetId="1">#REF!</definedName>
    <definedName name="РасходКлея2">#REF!</definedName>
    <definedName name="СтоимБарбВСут" localSheetId="1">'Фурнитура Elite'!#REF!</definedName>
    <definedName name="СтоимБарбВСут">'Система Elite'!#REF!</definedName>
    <definedName name="ЦенаIMW" localSheetId="1">'Фурнитура Elite'!#REF!</definedName>
    <definedName name="ЦенаIMW">'Система Elite'!#REF!</definedName>
    <definedName name="ЦенаIMW1" localSheetId="1">#REF!</definedName>
    <definedName name="ЦенаIMW1">#REF!</definedName>
    <definedName name="ЦенаДостИзНЧнаКГ" localSheetId="1">'Фурнитура Elite'!#REF!</definedName>
    <definedName name="ЦенаДостИзНЧнаКГ">'Система Elite'!#REF!</definedName>
    <definedName name="ЦенаЗащПл" localSheetId="1">'Фурнитура Elite'!#REF!</definedName>
    <definedName name="ЦенаЗащПл">'Система Elite'!#REF!</definedName>
    <definedName name="ЦенаКлея" localSheetId="1">'Фурнитура Elite'!#REF!</definedName>
    <definedName name="ЦенаКлея">'Система Elite'!#REF!</definedName>
    <definedName name="ЦенаКлея2" localSheetId="1">#REF!</definedName>
    <definedName name="ЦенаКлея2">#REF!</definedName>
    <definedName name="ЦенаОкутРозн" localSheetId="1">'Фурнитура Elite'!#REF!</definedName>
    <definedName name="ЦенаОкутРозн">'Система Elite'!#REF!</definedName>
    <definedName name="ЦенаСырАлюм" localSheetId="1">'Фурнитура Elite'!#REF!</definedName>
    <definedName name="ЦенаСырАлюм">'Система Elite'!#REF!</definedName>
    <definedName name="ЦенаШпона" localSheetId="1">'Фурнитура Elite'!#REF!</definedName>
    <definedName name="ЦенаШпона">'Система Elite'!#REF!</definedName>
  </definedNames>
  <calcPr calcId="144525"/>
  <fileRecoveryPr autoRecover="0"/>
</workbook>
</file>

<file path=xl/calcChain.xml><?xml version="1.0" encoding="utf-8"?>
<calcChain xmlns="http://schemas.openxmlformats.org/spreadsheetml/2006/main">
  <c r="AJ52" i="18" l="1"/>
  <c r="AJ51" i="18"/>
  <c r="AJ50" i="18"/>
  <c r="AJ49" i="18"/>
  <c r="AJ48" i="18"/>
  <c r="AJ47" i="18"/>
  <c r="AJ46" i="18"/>
  <c r="AJ44" i="18"/>
  <c r="AJ43" i="18"/>
  <c r="AJ42" i="18"/>
  <c r="AJ41" i="18"/>
  <c r="AJ40" i="18"/>
  <c r="AJ39" i="18"/>
  <c r="AJ38" i="18"/>
  <c r="AJ37" i="18"/>
  <c r="AJ36" i="18"/>
  <c r="AJ35" i="18"/>
  <c r="AJ34" i="18"/>
  <c r="AJ33" i="18"/>
  <c r="AJ32" i="18"/>
  <c r="AJ31" i="18"/>
  <c r="AJ29" i="18"/>
  <c r="AJ28" i="18"/>
  <c r="AJ27" i="18"/>
  <c r="AJ26" i="18"/>
  <c r="AJ25" i="18"/>
  <c r="AJ24" i="18"/>
  <c r="AJ23" i="18"/>
  <c r="AJ21" i="18"/>
  <c r="AJ20" i="18"/>
  <c r="AJ19" i="18"/>
  <c r="AJ18" i="18"/>
  <c r="AJ17" i="18"/>
  <c r="AJ16" i="18"/>
  <c r="AJ15" i="18"/>
  <c r="AJ13" i="18"/>
  <c r="AJ12" i="18"/>
  <c r="AJ11" i="18"/>
  <c r="AJ10" i="18"/>
  <c r="AJ9" i="18"/>
  <c r="AJ8" i="18"/>
  <c r="AJ7" i="18"/>
  <c r="O111" i="24"/>
  <c r="O116" i="24"/>
  <c r="O106" i="24"/>
  <c r="O99" i="24"/>
  <c r="O92" i="24"/>
  <c r="O84" i="24"/>
  <c r="O77" i="24"/>
  <c r="O69" i="24"/>
  <c r="O62" i="24"/>
  <c r="O54" i="24"/>
  <c r="O47" i="24"/>
  <c r="O39" i="24"/>
  <c r="O32" i="24"/>
  <c r="O24" i="24"/>
  <c r="O16" i="24"/>
  <c r="O8" i="24"/>
  <c r="AJ51" i="20"/>
  <c r="AJ44" i="20"/>
  <c r="AJ97" i="19"/>
  <c r="AJ90" i="19"/>
  <c r="AJ83" i="19"/>
  <c r="AJ76" i="19"/>
  <c r="AJ69" i="19"/>
  <c r="AJ62" i="19"/>
  <c r="AJ55" i="19"/>
  <c r="AJ54" i="19"/>
  <c r="AJ53" i="19"/>
  <c r="AJ52" i="19"/>
  <c r="AJ51" i="19"/>
  <c r="AJ44" i="19"/>
  <c r="AJ37" i="19"/>
  <c r="AJ30" i="19"/>
  <c r="AJ22" i="19"/>
  <c r="AJ14" i="19"/>
  <c r="AJ6" i="19"/>
  <c r="G16" i="17"/>
  <c r="G15" i="17"/>
  <c r="G14" i="17"/>
  <c r="G13" i="17"/>
  <c r="G11" i="17"/>
  <c r="G10" i="17"/>
  <c r="G7" i="17"/>
  <c r="G4" i="17"/>
  <c r="F139" i="15"/>
  <c r="F137" i="15"/>
  <c r="F135" i="15"/>
  <c r="F133" i="15"/>
  <c r="F131" i="15"/>
  <c r="F129" i="15"/>
  <c r="F127" i="15"/>
  <c r="F125" i="15"/>
  <c r="F123" i="15"/>
  <c r="F121" i="15"/>
  <c r="F118" i="15"/>
  <c r="F116" i="15"/>
  <c r="F114" i="15"/>
  <c r="F112" i="15"/>
  <c r="F108" i="15"/>
  <c r="F106" i="15"/>
  <c r="F104" i="15"/>
  <c r="F102" i="15"/>
  <c r="F97" i="15"/>
  <c r="F95" i="15"/>
  <c r="F93" i="15"/>
  <c r="F91" i="15"/>
  <c r="F86" i="15"/>
  <c r="F84" i="15"/>
  <c r="F82" i="15"/>
  <c r="F80" i="15"/>
  <c r="F75" i="15"/>
  <c r="F73" i="15"/>
  <c r="F71" i="15"/>
  <c r="F69" i="15"/>
  <c r="F64" i="15"/>
  <c r="F62" i="15"/>
  <c r="F60" i="15"/>
  <c r="F58" i="15"/>
  <c r="F54" i="15"/>
  <c r="F52" i="15"/>
  <c r="F50" i="15"/>
  <c r="F48" i="15"/>
  <c r="F43" i="15"/>
  <c r="F41" i="15"/>
  <c r="F39" i="15"/>
  <c r="F37" i="15"/>
  <c r="F32" i="15"/>
  <c r="F30" i="15"/>
  <c r="F28" i="15"/>
  <c r="F26" i="15"/>
  <c r="F21" i="15"/>
  <c r="F19" i="15"/>
  <c r="F17" i="15"/>
  <c r="F15" i="15"/>
  <c r="F12" i="15"/>
  <c r="F11" i="15"/>
  <c r="F10" i="15"/>
  <c r="F9" i="15"/>
  <c r="F8" i="15"/>
  <c r="F7" i="15"/>
  <c r="F6" i="15"/>
  <c r="F5" i="15"/>
  <c r="J14" i="15" l="1"/>
  <c r="K14" i="15"/>
  <c r="L14" i="15"/>
  <c r="M14" i="15"/>
  <c r="N14" i="15"/>
  <c r="O14" i="15"/>
  <c r="N101" i="15" l="1"/>
  <c r="M101" i="15"/>
  <c r="L101" i="15"/>
  <c r="K101" i="15"/>
  <c r="J101" i="15"/>
  <c r="N36" i="15"/>
  <c r="M36" i="15"/>
  <c r="L36" i="15"/>
  <c r="K36" i="15"/>
  <c r="J36" i="15"/>
  <c r="N90" i="15"/>
  <c r="M90" i="15"/>
  <c r="L90" i="15"/>
  <c r="K90" i="15"/>
  <c r="J90" i="15"/>
  <c r="N79" i="15"/>
  <c r="M79" i="15"/>
  <c r="L79" i="15"/>
  <c r="K79" i="15"/>
  <c r="J79" i="15"/>
  <c r="N68" i="15"/>
  <c r="N66" i="15"/>
  <c r="M68" i="15"/>
  <c r="L68" i="15"/>
  <c r="K68" i="15"/>
  <c r="J68" i="15"/>
  <c r="N47" i="15"/>
  <c r="M47" i="15"/>
  <c r="L47" i="15"/>
  <c r="K47" i="15"/>
  <c r="J47" i="15"/>
  <c r="N25" i="15"/>
  <c r="M25" i="15"/>
  <c r="L25" i="15"/>
  <c r="K25" i="15"/>
  <c r="J25" i="15"/>
  <c r="N139" i="15" l="1"/>
  <c r="N127" i="15"/>
  <c r="N129" i="15"/>
  <c r="N131" i="15"/>
  <c r="N133" i="15"/>
  <c r="N135" i="15"/>
  <c r="N137" i="15"/>
  <c r="N125" i="15"/>
  <c r="N123" i="15"/>
  <c r="N121" i="15"/>
  <c r="N120" i="15"/>
  <c r="N118" i="15"/>
  <c r="N116" i="15"/>
  <c r="N114" i="15"/>
  <c r="N106" i="15"/>
  <c r="N108" i="15"/>
  <c r="N110" i="15"/>
  <c r="N112" i="15"/>
  <c r="N97" i="15"/>
  <c r="N99" i="15"/>
  <c r="N102" i="15"/>
  <c r="N104" i="15"/>
  <c r="N91" i="15"/>
  <c r="N93" i="15"/>
  <c r="N95" i="15"/>
  <c r="N84" i="15"/>
  <c r="N86" i="15"/>
  <c r="N88" i="15"/>
  <c r="N80" i="15"/>
  <c r="N82" i="15"/>
  <c r="N71" i="15"/>
  <c r="N73" i="15"/>
  <c r="N75" i="15"/>
  <c r="N77" i="15"/>
  <c r="N69" i="15"/>
  <c r="N62" i="15"/>
  <c r="N64" i="15"/>
  <c r="N56" i="15"/>
  <c r="N58" i="15"/>
  <c r="N60" i="15"/>
  <c r="N48" i="15"/>
  <c r="N50" i="15"/>
  <c r="N52" i="15"/>
  <c r="N54" i="15"/>
  <c r="N37" i="15"/>
  <c r="N39" i="15"/>
  <c r="N41" i="15"/>
  <c r="N43" i="15"/>
  <c r="N45" i="15"/>
  <c r="N28" i="15"/>
  <c r="N30" i="15"/>
  <c r="N32" i="15"/>
  <c r="N34" i="15"/>
  <c r="N26" i="15"/>
  <c r="N17" i="15"/>
  <c r="N19" i="15"/>
  <c r="N21" i="15"/>
  <c r="N23" i="15"/>
  <c r="N15" i="15"/>
  <c r="N6" i="15"/>
  <c r="N7" i="15"/>
  <c r="N8" i="15"/>
  <c r="N9" i="15"/>
  <c r="N10" i="15"/>
  <c r="N11" i="15"/>
  <c r="N12" i="15"/>
  <c r="N13" i="15"/>
  <c r="N5" i="15"/>
  <c r="I7" i="17"/>
  <c r="H7" i="17"/>
  <c r="I4" i="17"/>
  <c r="H4" i="17"/>
  <c r="I10" i="17"/>
  <c r="H10" i="17"/>
  <c r="H11" i="17"/>
  <c r="H14" i="17"/>
  <c r="H13" i="17"/>
  <c r="AK42" i="18" l="1"/>
  <c r="AK43" i="18"/>
  <c r="AK44" i="18"/>
  <c r="AK45" i="18"/>
  <c r="AK46" i="18"/>
  <c r="AK47" i="18"/>
  <c r="AK48" i="18"/>
  <c r="AK49" i="18"/>
  <c r="AK50" i="18"/>
  <c r="AK51" i="18"/>
  <c r="AK52" i="18"/>
  <c r="AK8" i="18"/>
  <c r="AK9" i="18"/>
  <c r="AK10" i="18"/>
  <c r="AK11" i="18"/>
  <c r="AK12" i="18"/>
  <c r="AK13" i="18"/>
  <c r="AK15" i="18"/>
  <c r="AK16" i="18"/>
  <c r="AK17" i="18"/>
  <c r="AK18" i="18"/>
  <c r="AK19" i="18"/>
  <c r="AK20" i="18"/>
  <c r="AK21" i="18"/>
  <c r="AK23" i="18"/>
  <c r="AK24" i="18"/>
  <c r="AK25" i="18"/>
  <c r="AK26" i="18"/>
  <c r="AK27" i="18"/>
  <c r="AK28" i="18"/>
  <c r="AK29" i="18"/>
  <c r="AK31" i="18"/>
  <c r="AK32" i="18"/>
  <c r="AK33" i="18"/>
  <c r="AK34" i="18"/>
  <c r="AK35" i="18"/>
  <c r="AK36" i="18"/>
  <c r="AK37" i="18"/>
  <c r="AK38" i="18"/>
  <c r="AK39" i="18"/>
  <c r="AK40" i="18"/>
  <c r="AK41" i="18"/>
  <c r="AK7" i="18"/>
  <c r="O137" i="15" l="1"/>
  <c r="O139" i="15"/>
  <c r="O129" i="15"/>
  <c r="O131" i="15"/>
  <c r="O133" i="15"/>
  <c r="O135" i="15"/>
  <c r="O127" i="15"/>
  <c r="O121" i="15"/>
  <c r="O123" i="15"/>
  <c r="O125" i="15"/>
  <c r="O120" i="15"/>
  <c r="O118" i="15"/>
  <c r="O119" i="15"/>
  <c r="O110" i="15"/>
  <c r="O111" i="15"/>
  <c r="O112" i="15"/>
  <c r="O113" i="15"/>
  <c r="O114" i="15"/>
  <c r="O115" i="15"/>
  <c r="O116" i="15"/>
  <c r="O117" i="15"/>
  <c r="O104" i="15"/>
  <c r="O105" i="15"/>
  <c r="O106" i="15"/>
  <c r="O107" i="15"/>
  <c r="O108" i="15"/>
  <c r="O109" i="15"/>
  <c r="O97" i="15"/>
  <c r="O98" i="15"/>
  <c r="O99" i="15"/>
  <c r="O100" i="15"/>
  <c r="O86" i="15"/>
  <c r="O87" i="15"/>
  <c r="O88" i="15"/>
  <c r="O89" i="15"/>
  <c r="O91" i="15"/>
  <c r="O92" i="15"/>
  <c r="O93" i="15"/>
  <c r="O94" i="15"/>
  <c r="O95" i="15"/>
  <c r="O96" i="15"/>
  <c r="O102" i="15"/>
  <c r="O103" i="15"/>
  <c r="O69" i="15"/>
  <c r="O70" i="15"/>
  <c r="O71" i="15"/>
  <c r="O72" i="15"/>
  <c r="O73" i="15"/>
  <c r="O74" i="15"/>
  <c r="O75" i="15"/>
  <c r="O76" i="15"/>
  <c r="O77" i="15"/>
  <c r="O78" i="15"/>
  <c r="O80" i="15"/>
  <c r="O81" i="15"/>
  <c r="O82" i="15"/>
  <c r="O83" i="15"/>
  <c r="O84" i="15"/>
  <c r="O85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39" i="15"/>
  <c r="O40" i="15"/>
  <c r="O41" i="15"/>
  <c r="O42" i="15"/>
  <c r="O43" i="15"/>
  <c r="O44" i="15"/>
  <c r="O45" i="15"/>
  <c r="O46" i="15"/>
  <c r="O48" i="15"/>
  <c r="O49" i="15"/>
  <c r="O50" i="15"/>
  <c r="O51" i="15"/>
  <c r="O52" i="15"/>
  <c r="O53" i="15"/>
  <c r="O17" i="15"/>
  <c r="O18" i="15"/>
  <c r="O19" i="15"/>
  <c r="O20" i="15"/>
  <c r="O21" i="15"/>
  <c r="O22" i="15"/>
  <c r="O23" i="15"/>
  <c r="O24" i="15"/>
  <c r="O26" i="15"/>
  <c r="O27" i="15"/>
  <c r="O28" i="15"/>
  <c r="O29" i="15"/>
  <c r="O30" i="15"/>
  <c r="O31" i="15"/>
  <c r="O32" i="15"/>
  <c r="O33" i="15"/>
  <c r="O34" i="15"/>
  <c r="O35" i="15"/>
  <c r="O37" i="15"/>
  <c r="O38" i="15"/>
  <c r="O15" i="15"/>
  <c r="O6" i="15"/>
  <c r="O7" i="15"/>
  <c r="O8" i="15"/>
  <c r="O9" i="15"/>
  <c r="O10" i="15"/>
  <c r="O11" i="15"/>
  <c r="O12" i="15"/>
  <c r="O13" i="15"/>
  <c r="O5" i="15"/>
  <c r="O16" i="15" l="1"/>
  <c r="M139" i="15" l="1"/>
  <c r="L139" i="15"/>
  <c r="K139" i="15"/>
  <c r="J139" i="15"/>
  <c r="C139" i="15"/>
  <c r="E139" i="15"/>
  <c r="G140" i="15"/>
  <c r="H140" i="15"/>
  <c r="I140" i="15"/>
  <c r="M137" i="15"/>
  <c r="L137" i="15"/>
  <c r="L120" i="15" l="1"/>
  <c r="M120" i="15"/>
  <c r="K120" i="15"/>
  <c r="J120" i="15"/>
  <c r="M6" i="15"/>
  <c r="M7" i="15"/>
  <c r="M8" i="15"/>
  <c r="M9" i="15"/>
  <c r="M10" i="15"/>
  <c r="M11" i="15"/>
  <c r="M12" i="15"/>
  <c r="M13" i="15"/>
  <c r="L6" i="15"/>
  <c r="L7" i="15"/>
  <c r="L8" i="15"/>
  <c r="L9" i="15"/>
  <c r="L10" i="15"/>
  <c r="L11" i="15"/>
  <c r="L12" i="15"/>
  <c r="L13" i="15"/>
  <c r="K6" i="15"/>
  <c r="K7" i="15"/>
  <c r="K8" i="15"/>
  <c r="K9" i="15"/>
  <c r="K10" i="15"/>
  <c r="K11" i="15"/>
  <c r="K12" i="15"/>
  <c r="K13" i="15"/>
  <c r="J6" i="15"/>
  <c r="J7" i="15"/>
  <c r="J8" i="15"/>
  <c r="J9" i="15"/>
  <c r="J10" i="15"/>
  <c r="J11" i="15"/>
  <c r="J12" i="15"/>
  <c r="J13" i="15"/>
  <c r="M5" i="15"/>
  <c r="L5" i="15"/>
  <c r="K5" i="15"/>
  <c r="J5" i="15"/>
  <c r="J15" i="15"/>
  <c r="K15" i="15"/>
  <c r="L15" i="15"/>
  <c r="M15" i="15"/>
  <c r="J17" i="15"/>
  <c r="K17" i="15"/>
  <c r="L17" i="15"/>
  <c r="M17" i="15"/>
  <c r="J19" i="15"/>
  <c r="K19" i="15"/>
  <c r="L19" i="15"/>
  <c r="M19" i="15"/>
  <c r="L37" i="15" l="1"/>
  <c r="L39" i="15"/>
  <c r="L41" i="15"/>
  <c r="L43" i="15"/>
  <c r="L45" i="15"/>
  <c r="L48" i="15"/>
  <c r="L50" i="15"/>
  <c r="L52" i="15"/>
  <c r="L54" i="15"/>
  <c r="L56" i="15"/>
  <c r="L58" i="15"/>
  <c r="L60" i="15"/>
  <c r="L62" i="15"/>
  <c r="L64" i="15"/>
  <c r="L66" i="15"/>
  <c r="L69" i="15"/>
  <c r="L71" i="15"/>
  <c r="L73" i="15"/>
  <c r="L75" i="15"/>
  <c r="L77" i="15"/>
  <c r="L80" i="15"/>
  <c r="L82" i="15"/>
  <c r="L84" i="15"/>
  <c r="L86" i="15"/>
  <c r="L88" i="15"/>
  <c r="L91" i="15"/>
  <c r="L93" i="15"/>
  <c r="L95" i="15"/>
  <c r="L97" i="15"/>
  <c r="L99" i="15"/>
  <c r="L102" i="15"/>
  <c r="L104" i="15"/>
  <c r="L106" i="15"/>
  <c r="L108" i="15"/>
  <c r="L110" i="15"/>
  <c r="L112" i="15"/>
  <c r="L114" i="15"/>
  <c r="L116" i="15"/>
  <c r="L118" i="15"/>
  <c r="L121" i="15"/>
  <c r="L123" i="15"/>
  <c r="L125" i="15"/>
  <c r="L127" i="15"/>
  <c r="L129" i="15"/>
  <c r="L131" i="15"/>
  <c r="L133" i="15"/>
  <c r="L135" i="15"/>
  <c r="L28" i="15"/>
  <c r="L30" i="15"/>
  <c r="L32" i="15"/>
  <c r="L34" i="15"/>
  <c r="L26" i="15"/>
  <c r="L21" i="15"/>
  <c r="L23" i="15"/>
  <c r="K26" i="15" l="1"/>
  <c r="K28" i="15"/>
  <c r="K30" i="15"/>
  <c r="K32" i="15"/>
  <c r="K34" i="15"/>
  <c r="K37" i="15"/>
  <c r="K39" i="15"/>
  <c r="K41" i="15"/>
  <c r="K43" i="15"/>
  <c r="K45" i="15"/>
  <c r="K48" i="15"/>
  <c r="K50" i="15"/>
  <c r="K52" i="15"/>
  <c r="K54" i="15"/>
  <c r="K56" i="15"/>
  <c r="K58" i="15"/>
  <c r="K60" i="15"/>
  <c r="K62" i="15"/>
  <c r="K64" i="15"/>
  <c r="K66" i="15"/>
  <c r="K69" i="15"/>
  <c r="K71" i="15"/>
  <c r="K73" i="15"/>
  <c r="K75" i="15"/>
  <c r="K77" i="15"/>
  <c r="K80" i="15"/>
  <c r="K82" i="15"/>
  <c r="K84" i="15"/>
  <c r="K86" i="15"/>
  <c r="K88" i="15"/>
  <c r="K91" i="15"/>
  <c r="K93" i="15"/>
  <c r="K95" i="15"/>
  <c r="K97" i="15"/>
  <c r="K99" i="15"/>
  <c r="K102" i="15"/>
  <c r="K104" i="15"/>
  <c r="K106" i="15"/>
  <c r="K108" i="15"/>
  <c r="K110" i="15"/>
  <c r="K112" i="15"/>
  <c r="K114" i="15"/>
  <c r="K116" i="15"/>
  <c r="K118" i="15"/>
  <c r="K121" i="15"/>
  <c r="K123" i="15"/>
  <c r="K125" i="15"/>
  <c r="K127" i="15"/>
  <c r="K129" i="15"/>
  <c r="K131" i="15"/>
  <c r="K133" i="15"/>
  <c r="K135" i="15"/>
  <c r="K21" i="15"/>
  <c r="K23" i="15"/>
  <c r="J26" i="15"/>
  <c r="J28" i="15"/>
  <c r="J30" i="15"/>
  <c r="J32" i="15"/>
  <c r="J34" i="15"/>
  <c r="J37" i="15"/>
  <c r="J39" i="15"/>
  <c r="J41" i="15"/>
  <c r="J43" i="15"/>
  <c r="J45" i="15"/>
  <c r="J48" i="15"/>
  <c r="J50" i="15"/>
  <c r="J52" i="15"/>
  <c r="J54" i="15"/>
  <c r="J56" i="15"/>
  <c r="J58" i="15"/>
  <c r="J60" i="15"/>
  <c r="J62" i="15"/>
  <c r="J64" i="15"/>
  <c r="J66" i="15"/>
  <c r="J69" i="15"/>
  <c r="J71" i="15"/>
  <c r="J73" i="15"/>
  <c r="J75" i="15"/>
  <c r="J77" i="15"/>
  <c r="J80" i="15"/>
  <c r="J82" i="15"/>
  <c r="J84" i="15"/>
  <c r="J86" i="15"/>
  <c r="J88" i="15"/>
  <c r="J91" i="15"/>
  <c r="J93" i="15"/>
  <c r="J95" i="15"/>
  <c r="J97" i="15"/>
  <c r="J99" i="15"/>
  <c r="J102" i="15"/>
  <c r="J104" i="15"/>
  <c r="J106" i="15"/>
  <c r="J108" i="15"/>
  <c r="J110" i="15"/>
  <c r="J112" i="15"/>
  <c r="J114" i="15"/>
  <c r="J116" i="15"/>
  <c r="J118" i="15"/>
  <c r="J121" i="15"/>
  <c r="J123" i="15"/>
  <c r="J125" i="15"/>
  <c r="J127" i="15"/>
  <c r="J129" i="15"/>
  <c r="J131" i="15"/>
  <c r="J133" i="15"/>
  <c r="J135" i="15"/>
  <c r="J21" i="15"/>
  <c r="J23" i="15"/>
  <c r="M26" i="15"/>
  <c r="M28" i="15"/>
  <c r="M30" i="15"/>
  <c r="M32" i="15"/>
  <c r="M34" i="15"/>
  <c r="M37" i="15"/>
  <c r="M39" i="15"/>
  <c r="M41" i="15"/>
  <c r="M43" i="15"/>
  <c r="M45" i="15"/>
  <c r="M48" i="15"/>
  <c r="M50" i="15"/>
  <c r="M52" i="15"/>
  <c r="M54" i="15"/>
  <c r="M56" i="15"/>
  <c r="M58" i="15"/>
  <c r="M60" i="15"/>
  <c r="M62" i="15"/>
  <c r="M64" i="15"/>
  <c r="M66" i="15"/>
  <c r="M69" i="15"/>
  <c r="M71" i="15"/>
  <c r="M73" i="15"/>
  <c r="M75" i="15"/>
  <c r="M77" i="15"/>
  <c r="M80" i="15"/>
  <c r="M82" i="15"/>
  <c r="M84" i="15"/>
  <c r="M86" i="15"/>
  <c r="M88" i="15"/>
  <c r="M91" i="15"/>
  <c r="M93" i="15"/>
  <c r="M95" i="15"/>
  <c r="M97" i="15"/>
  <c r="M99" i="15"/>
  <c r="M102" i="15"/>
  <c r="M104" i="15"/>
  <c r="M106" i="15"/>
  <c r="M108" i="15"/>
  <c r="M110" i="15"/>
  <c r="M112" i="15"/>
  <c r="M114" i="15"/>
  <c r="M116" i="15"/>
  <c r="M118" i="15"/>
  <c r="M121" i="15"/>
  <c r="M123" i="15"/>
  <c r="M125" i="15"/>
  <c r="M127" i="15"/>
  <c r="M129" i="15"/>
  <c r="M131" i="15"/>
  <c r="M133" i="15"/>
  <c r="M135" i="15"/>
  <c r="M21" i="15"/>
  <c r="M23" i="15"/>
  <c r="K137" i="15"/>
  <c r="J137" i="15"/>
</calcChain>
</file>

<file path=xl/sharedStrings.xml><?xml version="1.0" encoding="utf-8"?>
<sst xmlns="http://schemas.openxmlformats.org/spreadsheetml/2006/main" count="403" uniqueCount="229">
  <si>
    <t>Сечение</t>
  </si>
  <si>
    <t>Цвет</t>
  </si>
  <si>
    <t>Длина
( мм )</t>
  </si>
  <si>
    <t>Профиль вертикальный (симметричный)</t>
  </si>
  <si>
    <t xml:space="preserve">Направляющая верхняя одинарная </t>
  </si>
  <si>
    <t xml:space="preserve">Профиль горизонтальный верхний
</t>
  </si>
  <si>
    <t xml:space="preserve">Профиль горизонтальный нижний
</t>
  </si>
  <si>
    <t xml:space="preserve">Делитель под винт 
</t>
  </si>
  <si>
    <t xml:space="preserve">Разделитель - наклейка       
</t>
  </si>
  <si>
    <t>Нижняя направляющая  двойная</t>
  </si>
  <si>
    <t xml:space="preserve">Нижняя направляющая одинарная
</t>
  </si>
  <si>
    <t xml:space="preserve">Направляющая для распашного
механизма
</t>
  </si>
  <si>
    <t xml:space="preserve">Делитель Н-обр.
</t>
  </si>
  <si>
    <t>Направляющая верхняя двойная</t>
  </si>
  <si>
    <t xml:space="preserve">Цена
Закупка МАК
</t>
  </si>
  <si>
    <t>Цена от 300т.</t>
  </si>
  <si>
    <t>Цена от 500т.</t>
  </si>
  <si>
    <t>Цена розница</t>
  </si>
  <si>
    <t xml:space="preserve">                         Система скидок</t>
  </si>
  <si>
    <t>от 20 000 до 50 000 руб.</t>
  </si>
  <si>
    <t>от 51 000 до 100 000 руб.</t>
  </si>
  <si>
    <t>от 101 000 до 300 000 руб.</t>
  </si>
  <si>
    <t>коньяк</t>
  </si>
  <si>
    <t>серебро</t>
  </si>
  <si>
    <t>золото</t>
  </si>
  <si>
    <t>шампань</t>
  </si>
  <si>
    <t>Кол-во в упаковке</t>
  </si>
  <si>
    <t>от 301 000 руб. до 500 000 руб.</t>
  </si>
  <si>
    <t>от 501 000 руб.</t>
  </si>
  <si>
    <t xml:space="preserve"> Опорная система профилей ELITE (Китай)</t>
  </si>
  <si>
    <t>Профиль вертикальный (асимметричный)   КЛАССИК     0.414кг/м</t>
  </si>
  <si>
    <t>Профиль вертикальный  (асимметричный)       0.483кг/м</t>
  </si>
  <si>
    <t>Рамочный профиль "070"</t>
  </si>
  <si>
    <t>Рамочный профиль "078"</t>
  </si>
  <si>
    <t>Фурнитура для шкафов-купе</t>
  </si>
  <si>
    <t>Наименование</t>
  </si>
  <si>
    <r>
      <t xml:space="preserve">Комплект роликов 37,5мм  </t>
    </r>
    <r>
      <rPr>
        <u/>
        <sz val="10"/>
        <rFont val="Tahoma"/>
        <family val="2"/>
        <charset val="204"/>
      </rPr>
      <t xml:space="preserve">с усиленным </t>
    </r>
    <r>
      <rPr>
        <sz val="10"/>
        <rFont val="Tahoma"/>
        <family val="2"/>
        <charset val="204"/>
      </rPr>
      <t>подшипником для симм.и асимм. профиля
2 верх. + 2 нижн. + 4 самореза+2 регул.винта</t>
    </r>
  </si>
  <si>
    <t>100 шт/кор</t>
  </si>
  <si>
    <t>Комплект роликов 37,5 для асимм.и симм. профиля 2 верх. + 2 нижн. + 4 самореза+2 регулир.винта</t>
  </si>
  <si>
    <t>100шт/кор</t>
  </si>
  <si>
    <t xml:space="preserve">Стопор ср.жесткости </t>
  </si>
  <si>
    <t>1000шт/кор</t>
  </si>
  <si>
    <t xml:space="preserve">Распашной механизм </t>
  </si>
  <si>
    <t>1000 шт/кор</t>
  </si>
  <si>
    <t>250 шт/кор</t>
  </si>
  <si>
    <t>600 шт/кор</t>
  </si>
  <si>
    <t xml:space="preserve">от 1  метра
</t>
  </si>
  <si>
    <t xml:space="preserve">  275м/бухта</t>
  </si>
  <si>
    <t>Уплотнитель  4 мм, 8 мм</t>
  </si>
  <si>
    <t>100 м/бухта</t>
  </si>
  <si>
    <t>Уплотнитель для рамочных фасадов (профиль 070/078)</t>
  </si>
  <si>
    <t>НАПРАВЛЯЮЩИЕ  ДЛЯ ЯЩИКОВ ПОЛНОГО ВЫДВИЖЕНИЯ С ФУНКЦИЯМИ</t>
  </si>
  <si>
    <t>Фото</t>
  </si>
  <si>
    <t>Артикул</t>
  </si>
  <si>
    <t>Описание</t>
  </si>
  <si>
    <t>Масса
кг/к-т</t>
  </si>
  <si>
    <t>К-во компл. 
в коробке</t>
  </si>
  <si>
    <t>цена розн. Руб/компл</t>
  </si>
  <si>
    <t>1A89-250</t>
  </si>
  <si>
    <t>* скрытые направляющие полного выдвижения
* функция "нажал-открыл" ("push-open")
* максимальная толщина боковой стенки 16мм
* максимальная нагрузка: 34 кг
* функция регулировки силы выталкивания</t>
  </si>
  <si>
    <t>1A89-300</t>
  </si>
  <si>
    <t>1A89-350</t>
  </si>
  <si>
    <t>1A89-400</t>
  </si>
  <si>
    <t>1A89-450</t>
  </si>
  <si>
    <t>1A89-500</t>
  </si>
  <si>
    <t>1A89-550</t>
  </si>
  <si>
    <t>1A68-250</t>
  </si>
  <si>
    <t>* скрытые направляющие полного выдвижения
* функция "беззвучного мягкого закрывания" ("soft-closing")
* максимальная толщина боковой стенки 16мм
* максимальная нагрузка: 34 кг
* функция регулировки положения ящика по высоте
* быстрая установка и снятие ящика</t>
  </si>
  <si>
    <t>1A68-300</t>
  </si>
  <si>
    <t>1A68-350</t>
  </si>
  <si>
    <t>1A68-400</t>
  </si>
  <si>
    <t>1A68-450</t>
  </si>
  <si>
    <t>1A68-500</t>
  </si>
  <si>
    <t>1A68-550</t>
  </si>
  <si>
    <t>1A88-250</t>
  </si>
  <si>
    <t>* скрытые направляющие полного выдвижения
* функция "нажал-открыл" ("push-open")+"беззвучного мягкого закрывания" ("soft-closing")
* максимальная толщина боковой стенки 16мм
* максимальная нагрузка: 34 кг
* функция регулировки силы выталкивания</t>
  </si>
  <si>
    <t>1A88-300</t>
  </si>
  <si>
    <t>1A88-350</t>
  </si>
  <si>
    <t>1A88-400</t>
  </si>
  <si>
    <t>1A88-450</t>
  </si>
  <si>
    <t>1A88-500</t>
  </si>
  <si>
    <t>1A88-550</t>
  </si>
  <si>
    <t>3M89-300</t>
  </si>
  <si>
    <t>* шариковые направляющие полного выдвижения 45х12.7
* функция "нажал-открыл" ("push-open")
* максимальная нагрузка: 45 кг
* отсоединение - рычажком
* возможность открытия традиционным способом
   "потянул-открыл" ("pull-open")</t>
  </si>
  <si>
    <t>3M89-350</t>
  </si>
  <si>
    <t>3M89-400</t>
  </si>
  <si>
    <t>3M89-450</t>
  </si>
  <si>
    <t>3M89-500</t>
  </si>
  <si>
    <t>3M89-550</t>
  </si>
  <si>
    <t>3M89-600</t>
  </si>
  <si>
    <t>3M52-300</t>
  </si>
  <si>
    <t>* шариковые направляющие полного выдвижения 45х12.7
* функция "беззвучного мягкого закрывания" ("soft-closing")
* максимальная нагрузка: 34 кг
* отсоединение - рычажком</t>
  </si>
  <si>
    <t>3M52-350</t>
  </si>
  <si>
    <t>3M52-400</t>
  </si>
  <si>
    <t>3M52-450</t>
  </si>
  <si>
    <t>3M52-500</t>
  </si>
  <si>
    <t>3М52-550</t>
  </si>
  <si>
    <t>3M52-600</t>
  </si>
  <si>
    <t>3J52-300</t>
  </si>
  <si>
    <t>* шариковые направляющие полного выдвижения 37.2х12.7
* функция "беззвучного мягкого закрывания" ("soft-closing")
* максимальная нагрузка: 23 кг
* отсоединение - клипом</t>
  </si>
  <si>
    <t>3J52-350</t>
  </si>
  <si>
    <t>3J52-400</t>
  </si>
  <si>
    <t>3J52-450</t>
  </si>
  <si>
    <t>3J52-500</t>
  </si>
  <si>
    <t>3J52-550</t>
  </si>
  <si>
    <t>3J52-600</t>
  </si>
  <si>
    <t>Условия предоставления скидок:</t>
  </si>
  <si>
    <t>система скидок:</t>
  </si>
  <si>
    <t>Единоразовая покупка или ежемесячный оборот в пределах указанных объемов. В оборот включается объем закупок алюминиевого анодированного и/или окутанного профиля.</t>
  </si>
  <si>
    <t>от 1 коробки</t>
  </si>
  <si>
    <t>от 20 до 40 тыс руб</t>
  </si>
  <si>
    <t>от 40 до 80 тыс руб</t>
  </si>
  <si>
    <t>от 80 до 150 тыс руб</t>
  </si>
  <si>
    <t>от 150 тыс руб</t>
  </si>
  <si>
    <t xml:space="preserve">Подвесная система SOFT-L  
(алюминиевые профили)
</t>
  </si>
  <si>
    <t>Код товара</t>
  </si>
  <si>
    <t>Длина мм</t>
  </si>
  <si>
    <t>Ед. измер</t>
  </si>
  <si>
    <t>Профиль вертикальный  внешней ручки            SL-01</t>
  </si>
  <si>
    <t>Матовый хром</t>
  </si>
  <si>
    <t>шт</t>
  </si>
  <si>
    <t xml:space="preserve">KO-дуб кремона шампань
WE-венге
OF-дуб феррара
</t>
  </si>
  <si>
    <t xml:space="preserve">Профиль вертикальный  внутренней ручки 
SL-02
</t>
  </si>
  <si>
    <t>Профиль горизонтальный SL-03</t>
  </si>
  <si>
    <t>Делитель центральный SL-04</t>
  </si>
  <si>
    <t xml:space="preserve">Верхняя направляющая под доводчик 
SL-05
</t>
  </si>
  <si>
    <t>Нижняя направляющая SL-06</t>
  </si>
  <si>
    <t xml:space="preserve">Ролики внутренние
(2 верх, 2 нижних+стопора)
SM 3
</t>
  </si>
  <si>
    <t>Комплект</t>
  </si>
  <si>
    <t xml:space="preserve">Ролики внешние
(2 верх,   2 нижних+стопора)
SM10
</t>
  </si>
  <si>
    <t xml:space="preserve">Ролики под доводчик для внутренней 
 двери (2 верх, 2 нижн) 
SM15
</t>
  </si>
  <si>
    <t xml:space="preserve">Ролики под доводчик для внутренней
 двери (2 верх, 2 нижн) 
DM15
</t>
  </si>
  <si>
    <t xml:space="preserve">Ролики под доводчик для внешней 
 двери (2 верх, 2 нижн) 
DM33
</t>
  </si>
  <si>
    <t xml:space="preserve">Доводчик  РМ1
(1 контейнер+1пистона+2уголка)
</t>
  </si>
  <si>
    <t xml:space="preserve">Доводчик  РМ2
(1 контейнер+2пистона+2уголка)
</t>
  </si>
  <si>
    <t>шт.</t>
  </si>
  <si>
    <t>м.п.</t>
  </si>
  <si>
    <t>Шлегель 12мм(серый, коричневый, бежевый)</t>
  </si>
  <si>
    <t xml:space="preserve">Система скидок:
  -от 20 000 руб. до 50 000 руб. - 5%
  -от 51 000 руб. до 100 000 руб. - 7%
  -от 101 000 руб. до 300 000 руб. - 10%
  -от 301 000 руб. до 500 000 руб. - 12%
  </t>
  </si>
  <si>
    <t xml:space="preserve">Профиль вертикальный LL-01
128 х 30
</t>
  </si>
  <si>
    <t xml:space="preserve">Профиль горизонт. 
LL-02
112 х 25
</t>
  </si>
  <si>
    <t xml:space="preserve">Делитель 
LL-03
112 х 25
</t>
  </si>
  <si>
    <t xml:space="preserve">Уплотнитель 
паз 8мм
</t>
  </si>
  <si>
    <t>К-во шт в упак</t>
  </si>
  <si>
    <t xml:space="preserve">Цена
розница
руб/шт.
</t>
  </si>
  <si>
    <t xml:space="preserve">BE, MY,
CY, OK,
AL,OE,
CW, WE,BI, OF,КО,
LU,OE/F
AP, WE/D
</t>
  </si>
  <si>
    <t xml:space="preserve">РП-031/8
55 х 18
</t>
  </si>
  <si>
    <t xml:space="preserve">РП-031А/10
55 х 22
</t>
  </si>
  <si>
    <t xml:space="preserve">РП-037/8
55 х 18
</t>
  </si>
  <si>
    <t xml:space="preserve">РП-037/10
55 х 22
</t>
  </si>
  <si>
    <t xml:space="preserve">Уплотнитель 
паз 10мм 
</t>
  </si>
  <si>
    <t xml:space="preserve">Бухта
100м
</t>
  </si>
  <si>
    <t>Розн. Цена</t>
  </si>
  <si>
    <t xml:space="preserve">от 100м </t>
  </si>
  <si>
    <t>свыше 1000 м</t>
  </si>
  <si>
    <t xml:space="preserve">Уплотнитель 
паз 8мм
</t>
  </si>
  <si>
    <t xml:space="preserve">от 1000 </t>
  </si>
  <si>
    <t xml:space="preserve">Система скидок:
От 20 000 руб  до 50 000 руб 15%
От 51 000 руб до 100 000 руб 20%
От 101 000 до 300 000 руб 25%
От 301 000  индивидуально
</t>
  </si>
  <si>
    <t>Ед. измерения</t>
  </si>
  <si>
    <t>комплект</t>
  </si>
  <si>
    <t>Компланарная система раздвижения дверей OPK</t>
  </si>
  <si>
    <t>http://inlux-m.ru/catalog/komplanarnaya_sistema_razdvizheniya_dverey_opk/</t>
  </si>
  <si>
    <t xml:space="preserve"> пр-во OPIKE (Китай),ссылка на сайт с описанием системы</t>
  </si>
  <si>
    <t>Скидка 40%</t>
  </si>
  <si>
    <t>Розница</t>
  </si>
  <si>
    <t>Комплект роликов подвесных OPK для внешней двери шкафа купе (CJ12206A)</t>
  </si>
  <si>
    <t>Комплект роликов подвесных OPK для внутренней двери шкафа купе (CJ12206B)</t>
  </si>
  <si>
    <t>Комплект роликов подвесных OPK для внутренней левой двери шкафа купе (CJ12206C)</t>
  </si>
  <si>
    <t>Комплект роликов подвесных OPK для внутренней правой двери шкафа купе (CJ12206D)</t>
  </si>
  <si>
    <t>Наименование товара</t>
  </si>
  <si>
    <t>Комплект CJ12201A(1800мм)</t>
  </si>
  <si>
    <t>Комплект CJ12201B(1900мм)</t>
  </si>
  <si>
    <t>Комплект CJ12201C(2000мм)</t>
  </si>
  <si>
    <t>Комплект CJ12201D(2100)</t>
  </si>
  <si>
    <t>Комплект CJ12201E(2200)</t>
  </si>
  <si>
    <t>Комплект CJ12201F(2300)</t>
  </si>
  <si>
    <t>Комплект CJ12201G(2400)</t>
  </si>
  <si>
    <t>Комплект CJ12201H(2500)</t>
  </si>
  <si>
    <t>Комплект CJ12201I(2600)</t>
  </si>
  <si>
    <t>Комплект CJ12201J(2700)</t>
  </si>
  <si>
    <t>Комплект CJ12201K(2800)</t>
  </si>
  <si>
    <t>Комплект CJ12201L(2900)</t>
  </si>
  <si>
    <t>Комплект CJ12201M(3000)</t>
  </si>
  <si>
    <t>Матовый хром профиль вертикальный  СОФТ SL-07 COMP/LXD  5,4м</t>
  </si>
  <si>
    <t>Матовый хром профиль горизонтальный  СОФТ SL-08 COMP/LXD  5.9м</t>
  </si>
  <si>
    <t>окутка(в рублях)</t>
  </si>
  <si>
    <t>0,6 руб.</t>
  </si>
  <si>
    <t>0,35 руб.</t>
  </si>
  <si>
    <t>Белый Глянец(WT/G) в руб.</t>
  </si>
  <si>
    <t xml:space="preserve">KO-дуб кремона шампань
WE-венге
OF-дуб феррара                         WE/D- венге темный
</t>
  </si>
  <si>
    <t xml:space="preserve">KO-дуб кремона шампань
WE-венге
OF-дуб феррара                          WE/D- венге темный
</t>
  </si>
  <si>
    <t>WT/G</t>
  </si>
  <si>
    <t xml:space="preserve">пр-во King Slide (Тайвань)            </t>
  </si>
  <si>
    <t xml:space="preserve">Подвесная система LUX-L  
</t>
  </si>
  <si>
    <t>Прищепка для шлегеля</t>
  </si>
  <si>
    <t>Распашной механизм(LF01 и RT01)</t>
  </si>
  <si>
    <t>Система скидок:
  -от 20 000 руб. до 50 000 руб. - 5%
  -от 51 000 руб. до 100 000 руб. - 7%
  -от 101 000 руб. до 300 000 руб. - 10%
  -от 301 000 руб. до 500 000 руб. - 12%</t>
  </si>
  <si>
    <t>Делитель центральный матовый хром SL-04, 5,9м</t>
  </si>
  <si>
    <t>Окутанный профиль горизонтальный СОФТ SL-08 COMP/LXD  5.9м</t>
  </si>
  <si>
    <t>Окутанный профиль вертикальный  СОФТ SL-07 COMP/LXD  5,4м</t>
  </si>
  <si>
    <t>Делитель центральный окутанный SL-04, 5,9м</t>
  </si>
  <si>
    <t xml:space="preserve">Цена </t>
  </si>
  <si>
    <t>Шлегель 6  мм (белый, молочно-белый, серый,коричневый, золотистый)</t>
  </si>
  <si>
    <t>от 1 до 3</t>
  </si>
  <si>
    <t>от  4 бухт (1 коробка)</t>
  </si>
  <si>
    <t>Муфты соединительные комплект SL001 (для горизонта+для разделителя)</t>
  </si>
  <si>
    <t>Уплотнитель  (аналог А.10.232) для стекла 4мм, 100м бухта</t>
  </si>
  <si>
    <t xml:space="preserve">Цвета окутки (Соответствие ДСП EGGER):   BE - БУК,     MY – МАХАГОН,   CY – ВИШНЯ,   AL - ОЛЬХА,   OF - ДУБ ФЕРРАРА,  OE - ОРЕХ,   OK-ДУБ,   CW - ВИШНЯ ВИКТ.,   WE - ВЕНГЕ,     BI -  БЕРЕЗА,     КО- ДУБ  КРЕМ. ШАМП.,     OE/F - ОРЕХ ФРАНЦ.,    AP - ЯБЛОНЯ,   WE/D - ВЕНГЕ ТЁМН,   WT/G-БЕЛЫЙ ГЛЯНЕЦ,  PO - ДУБ ДЫМЧАТЫЙ,  OB-ДУБ ФЕРРАРА СВЕТЛЫЙ.  </t>
  </si>
  <si>
    <t xml:space="preserve">Шпонка  (ласточкин хвост)
</t>
  </si>
  <si>
    <r>
      <rPr>
        <b/>
        <i/>
        <u/>
        <sz val="10"/>
        <color theme="1"/>
        <rFont val="Calibri"/>
        <family val="2"/>
        <charset val="204"/>
        <scheme val="minor"/>
      </rPr>
      <t>Цвета окутки (Соответствие ДСП EGGER)</t>
    </r>
    <r>
      <rPr>
        <b/>
        <i/>
        <sz val="10"/>
        <color theme="1"/>
        <rFont val="Calibri"/>
        <family val="2"/>
        <charset val="204"/>
        <scheme val="minor"/>
      </rPr>
      <t xml:space="preserve">:   BE - БУК,     MY – МАХАГОН,   CY – ВИШНЯ,   AL - ОЛЬХА,   OF - ДУБ ФЕРРАРА,  OE - ОРЕХ,   OK-ДУБ,   CW - ВИШНЯ ВИКТ.,   WE - ВЕНГЕ,     BI -  БЕРЕЗА,     КО- ДУБ  КРЕМ. ШАМП.,     OE/F - ОРЕХ ФРАНЦ.,    AP - ЯБЛОНЯ,   WE/D - ВЕНГЕ ТЁМН,   WT/G-БЕЛЫЙ ГЛЯНЕЦ,                                        </t>
    </r>
    <r>
      <rPr>
        <b/>
        <i/>
        <u/>
        <sz val="10"/>
        <color theme="1"/>
        <rFont val="Calibri"/>
        <family val="2"/>
        <charset val="204"/>
        <scheme val="minor"/>
      </rPr>
      <t>скоро в продаже:</t>
    </r>
    <r>
      <rPr>
        <b/>
        <i/>
        <sz val="10"/>
        <color theme="1"/>
        <rFont val="Calibri"/>
        <family val="2"/>
        <charset val="204"/>
        <scheme val="minor"/>
      </rPr>
      <t xml:space="preserve">  PO - ДУБ ДЫМЧАТЫЙ,  OB-ДУБ ФЕРРАРА СВЕТЛЫЙ.</t>
    </r>
  </si>
  <si>
    <t>МДФ – профили для рамочных фасадов (собственное производство)</t>
  </si>
  <si>
    <t xml:space="preserve">Уплотнитель вспененный  серый (аналог А.10.467) для прижима стекла, 200м бухта </t>
  </si>
  <si>
    <t>Шлегель 12мм(серый, коричневый, бежевый), 200м бухта</t>
  </si>
  <si>
    <t>100м бухта</t>
  </si>
  <si>
    <t>Уплотнитель  (аналог А.10.232) для стекла 4мм</t>
  </si>
  <si>
    <t>200м бухта</t>
  </si>
  <si>
    <t>Уплотнитель вспененный  серый (аналог А.10.467) для прижима стекла</t>
  </si>
  <si>
    <t xml:space="preserve">Уголок для рамочного профиля 070 </t>
  </si>
  <si>
    <t>Уголок для рамочного профиля 078</t>
  </si>
  <si>
    <t>Магнитная защелка(1магнит+контакт.пластина+2 самореза)</t>
  </si>
  <si>
    <t>10 шт/уп</t>
  </si>
  <si>
    <t xml:space="preserve">цена  за шт/от 1шт.      
</t>
  </si>
  <si>
    <t>упаковка</t>
  </si>
  <si>
    <t>цена  за шт/от 10 кор</t>
  </si>
  <si>
    <t xml:space="preserve">цена  за шт /1-9 кор        
</t>
  </si>
  <si>
    <t>1000 шт/уп</t>
  </si>
  <si>
    <t>70</t>
  </si>
  <si>
    <t>Все цены приведены в рублях с учетом фиксированного курса 1 у.е.= 70 руб. Прайс-лист от 14.03.2016</t>
  </si>
  <si>
    <t>Цена руб./комплект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</si>
</sst>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_р_._-;\-* #,##0_р_._-;_-* &quot;-&quot;??_р_._-;_-@_-"/>
    <numFmt numFmtId="165" formatCode="#,##0.00_р_."/>
    <numFmt numFmtId="166" formatCode="#,##0.0&quot;р.&quot;"/>
  </numFmts>
  <fonts count="45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ahoma"/>
      <family val="2"/>
      <charset val="204"/>
    </font>
    <font>
      <b/>
      <sz val="8"/>
      <name val="Arial Cyr"/>
      <family val="2"/>
      <charset val="204"/>
    </font>
    <font>
      <b/>
      <sz val="14"/>
      <name val="Calibri"/>
      <family val="2"/>
      <charset val="204"/>
    </font>
    <font>
      <b/>
      <sz val="10"/>
      <name val="Tahoma"/>
      <family val="2"/>
      <charset val="204"/>
    </font>
    <font>
      <sz val="14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8"/>
      <name val="Tahoma"/>
      <family val="2"/>
      <charset val="204"/>
    </font>
    <font>
      <sz val="12"/>
      <color theme="1"/>
      <name val="Tahoma"/>
      <family val="2"/>
      <charset val="204"/>
    </font>
    <font>
      <b/>
      <sz val="18"/>
      <name val="Calibri"/>
      <family val="2"/>
      <charset val="204"/>
    </font>
    <font>
      <u/>
      <sz val="10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4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i/>
      <sz val="11"/>
      <name val="Calibri"/>
      <family val="2"/>
      <charset val="204"/>
    </font>
    <font>
      <i/>
      <sz val="10"/>
      <name val="Tahoma"/>
      <family val="2"/>
      <charset val="204"/>
    </font>
    <font>
      <b/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i/>
      <u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4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35" fillId="0" borderId="0" applyNumberFormat="0" applyFill="0" applyBorder="0" applyAlignment="0" applyProtection="0"/>
  </cellStyleXfs>
  <cellXfs count="279">
    <xf numFmtId="0" fontId="0" fillId="0" borderId="0" xfId="0"/>
    <xf numFmtId="0" fontId="13" fillId="0" borderId="0" xfId="0" applyFont="1"/>
    <xf numFmtId="0" fontId="13" fillId="0" borderId="0" xfId="0" applyFont="1" applyFill="1"/>
    <xf numFmtId="0" fontId="13" fillId="2" borderId="0" xfId="0" applyFont="1" applyFill="1"/>
    <xf numFmtId="1" fontId="12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1" fontId="12" fillId="2" borderId="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/>
    <xf numFmtId="2" fontId="13" fillId="0" borderId="0" xfId="0" applyNumberFormat="1" applyFont="1" applyFill="1"/>
    <xf numFmtId="2" fontId="13" fillId="0" borderId="0" xfId="0" applyNumberFormat="1" applyFont="1"/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indent="3"/>
    </xf>
    <xf numFmtId="0" fontId="16" fillId="0" borderId="1" xfId="1" applyFont="1" applyFill="1" applyBorder="1" applyAlignment="1">
      <alignment horizontal="center" vertical="center" wrapText="1"/>
    </xf>
    <xf numFmtId="2" fontId="23" fillId="2" borderId="1" xfId="1" applyNumberFormat="1" applyFont="1" applyFill="1" applyBorder="1" applyAlignment="1">
      <alignment horizontal="center" vertical="center" wrapText="1"/>
    </xf>
    <xf numFmtId="2" fontId="19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indent="3"/>
    </xf>
    <xf numFmtId="0" fontId="11" fillId="0" borderId="0" xfId="0" applyFont="1"/>
    <xf numFmtId="0" fontId="11" fillId="0" borderId="0" xfId="0" applyFont="1" applyFill="1"/>
    <xf numFmtId="1" fontId="12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3"/>
    <xf numFmtId="0" fontId="10" fillId="0" borderId="0" xfId="3" applyAlignment="1">
      <alignment wrapText="1"/>
    </xf>
    <xf numFmtId="0" fontId="10" fillId="0" borderId="0" xfId="3" applyBorder="1" applyAlignment="1">
      <alignment horizontal="left" vertical="top" wrapText="1"/>
    </xf>
    <xf numFmtId="0" fontId="9" fillId="0" borderId="0" xfId="4"/>
    <xf numFmtId="0" fontId="9" fillId="0" borderId="0" xfId="4" applyAlignment="1">
      <alignment wrapText="1"/>
    </xf>
    <xf numFmtId="0" fontId="9" fillId="0" borderId="0" xfId="4" applyBorder="1" applyAlignment="1">
      <alignment horizontal="left" vertical="top" wrapText="1"/>
    </xf>
    <xf numFmtId="0" fontId="8" fillId="0" borderId="0" xfId="5"/>
    <xf numFmtId="0" fontId="8" fillId="0" borderId="0" xfId="5" applyAlignment="1">
      <alignment wrapText="1"/>
    </xf>
    <xf numFmtId="0" fontId="8" fillId="0" borderId="0" xfId="5" applyBorder="1" applyAlignment="1">
      <alignment horizontal="left" vertical="top" wrapText="1"/>
    </xf>
    <xf numFmtId="1" fontId="8" fillId="0" borderId="0" xfId="5" applyNumberFormat="1" applyAlignment="1">
      <alignment horizontal="center"/>
    </xf>
    <xf numFmtId="1" fontId="19" fillId="2" borderId="1" xfId="0" applyNumberFormat="1" applyFont="1" applyFill="1" applyBorder="1" applyAlignment="1">
      <alignment horizontal="center" vertical="center" wrapText="1"/>
    </xf>
    <xf numFmtId="0" fontId="7" fillId="0" borderId="0" xfId="6"/>
    <xf numFmtId="0" fontId="7" fillId="0" borderId="0" xfId="6" applyAlignment="1">
      <alignment wrapText="1"/>
    </xf>
    <xf numFmtId="0" fontId="7" fillId="0" borderId="0" xfId="6" applyBorder="1" applyAlignment="1">
      <alignment horizontal="left" vertical="top" wrapText="1"/>
    </xf>
    <xf numFmtId="0" fontId="7" fillId="0" borderId="0" xfId="6" applyAlignment="1"/>
    <xf numFmtId="0" fontId="13" fillId="3" borderId="0" xfId="0" applyFont="1" applyFill="1"/>
    <xf numFmtId="2" fontId="19" fillId="3" borderId="0" xfId="0" applyNumberFormat="1" applyFont="1" applyFill="1" applyAlignment="1">
      <alignment horizontal="center" vertical="center"/>
    </xf>
    <xf numFmtId="2" fontId="7" fillId="0" borderId="0" xfId="6" applyNumberFormat="1" applyAlignment="1">
      <alignment horizontal="center"/>
    </xf>
    <xf numFmtId="0" fontId="3" fillId="0" borderId="0" xfId="3" applyFont="1"/>
    <xf numFmtId="0" fontId="3" fillId="0" borderId="1" xfId="3" applyFont="1" applyBorder="1" applyAlignment="1">
      <alignment horizontal="center"/>
    </xf>
    <xf numFmtId="2" fontId="10" fillId="0" borderId="0" xfId="3" applyNumberFormat="1"/>
    <xf numFmtId="0" fontId="11" fillId="0" borderId="1" xfId="0" applyFont="1" applyFill="1" applyBorder="1" applyAlignment="1">
      <alignment horizontal="center" vertical="center" wrapText="1"/>
    </xf>
    <xf numFmtId="0" fontId="38" fillId="0" borderId="7" xfId="6" applyFont="1" applyBorder="1" applyAlignment="1">
      <alignment vertical="center" wrapText="1"/>
    </xf>
    <xf numFmtId="0" fontId="38" fillId="0" borderId="13" xfId="6" applyFont="1" applyBorder="1" applyAlignment="1">
      <alignment vertical="center" wrapText="1"/>
    </xf>
    <xf numFmtId="0" fontId="38" fillId="0" borderId="6" xfId="6" applyFont="1" applyBorder="1" applyAlignment="1">
      <alignment vertical="center" wrapText="1"/>
    </xf>
    <xf numFmtId="2" fontId="19" fillId="2" borderId="1" xfId="0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0" fontId="10" fillId="0" borderId="1" xfId="3" applyBorder="1" applyAlignment="1">
      <alignment horizontal="center"/>
    </xf>
    <xf numFmtId="0" fontId="29" fillId="0" borderId="1" xfId="4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2" fontId="39" fillId="0" borderId="1" xfId="6" applyNumberFormat="1" applyFont="1" applyBorder="1" applyAlignment="1">
      <alignment horizontal="center" vertical="center" wrapText="1"/>
    </xf>
    <xf numFmtId="0" fontId="39" fillId="0" borderId="1" xfId="6" applyFont="1" applyBorder="1" applyAlignment="1">
      <alignment horizontal="center"/>
    </xf>
    <xf numFmtId="2" fontId="9" fillId="0" borderId="0" xfId="4" applyNumberFormat="1" applyAlignment="1">
      <alignment horizontal="center"/>
    </xf>
    <xf numFmtId="165" fontId="0" fillId="0" borderId="0" xfId="0" applyNumberFormat="1"/>
    <xf numFmtId="2" fontId="31" fillId="0" borderId="1" xfId="4" applyNumberFormat="1" applyFont="1" applyBorder="1" applyAlignment="1">
      <alignment horizontal="center" vertical="center"/>
    </xf>
    <xf numFmtId="2" fontId="10" fillId="0" borderId="1" xfId="3" applyNumberFormat="1" applyBorder="1"/>
    <xf numFmtId="2" fontId="10" fillId="0" borderId="0" xfId="3" applyNumberFormat="1" applyBorder="1"/>
    <xf numFmtId="1" fontId="19" fillId="2" borderId="1" xfId="0" applyNumberFormat="1" applyFont="1" applyFill="1" applyBorder="1" applyAlignment="1">
      <alignment horizontal="center" vertical="top" wrapText="1"/>
    </xf>
    <xf numFmtId="2" fontId="19" fillId="3" borderId="9" xfId="0" applyNumberFormat="1" applyFont="1" applyFill="1" applyBorder="1" applyAlignment="1">
      <alignment horizontal="center" vertical="center" wrapText="1"/>
    </xf>
    <xf numFmtId="2" fontId="19" fillId="3" borderId="16" xfId="0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2" fontId="17" fillId="2" borderId="1" xfId="1" applyNumberFormat="1" applyFont="1" applyFill="1" applyBorder="1" applyAlignment="1">
      <alignment horizontal="center" vertical="center" wrapText="1"/>
    </xf>
    <xf numFmtId="2" fontId="11" fillId="2" borderId="1" xfId="1" applyNumberFormat="1" applyFont="1" applyFill="1" applyBorder="1" applyAlignment="1">
      <alignment horizontal="center" vertical="center" wrapText="1"/>
    </xf>
    <xf numFmtId="0" fontId="13" fillId="2" borderId="0" xfId="0" applyFont="1" applyFill="1" applyBorder="1"/>
    <xf numFmtId="0" fontId="13" fillId="0" borderId="0" xfId="0" applyFont="1" applyFill="1" applyBorder="1"/>
    <xf numFmtId="0" fontId="13" fillId="0" borderId="0" xfId="0" applyFont="1" applyBorder="1" applyAlignment="1">
      <alignment horizontal="left" indent="3"/>
    </xf>
    <xf numFmtId="0" fontId="13" fillId="0" borderId="0" xfId="0" applyFont="1" applyBorder="1"/>
    <xf numFmtId="1" fontId="12" fillId="2" borderId="0" xfId="0" applyNumberFormat="1" applyFont="1" applyFill="1" applyBorder="1" applyAlignment="1">
      <alignment vertical="center"/>
    </xf>
    <xf numFmtId="2" fontId="13" fillId="2" borderId="0" xfId="0" applyNumberFormat="1" applyFont="1" applyFill="1" applyBorder="1"/>
    <xf numFmtId="0" fontId="21" fillId="0" borderId="0" xfId="0" applyFont="1" applyFill="1" applyBorder="1" applyAlignment="1">
      <alignment horizontal="left" vertical="center"/>
    </xf>
    <xf numFmtId="9" fontId="22" fillId="0" borderId="0" xfId="0" applyNumberFormat="1" applyFont="1" applyFill="1" applyBorder="1" applyAlignment="1">
      <alignment horizontal="left" vertical="center"/>
    </xf>
    <xf numFmtId="49" fontId="25" fillId="0" borderId="19" xfId="0" applyNumberFormat="1" applyFont="1" applyBorder="1" applyAlignment="1">
      <alignment horizontal="center" vertical="center"/>
    </xf>
    <xf numFmtId="0" fontId="42" fillId="0" borderId="1" xfId="5" applyFont="1" applyBorder="1" applyAlignment="1">
      <alignment vertical="center"/>
    </xf>
    <xf numFmtId="0" fontId="42" fillId="0" borderId="1" xfId="5" applyFont="1" applyBorder="1" applyAlignment="1">
      <alignment horizontal="center" vertical="center"/>
    </xf>
    <xf numFmtId="0" fontId="41" fillId="0" borderId="1" xfId="4" applyFont="1" applyBorder="1" applyAlignment="1">
      <alignment vertical="center"/>
    </xf>
    <xf numFmtId="0" fontId="41" fillId="0" borderId="1" xfId="4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1" fontId="37" fillId="2" borderId="5" xfId="0" applyNumberFormat="1" applyFont="1" applyFill="1" applyBorder="1" applyAlignment="1">
      <alignment horizontal="center" vertical="center" wrapText="1"/>
    </xf>
    <xf numFmtId="1" fontId="37" fillId="2" borderId="11" xfId="0" applyNumberFormat="1" applyFont="1" applyFill="1" applyBorder="1" applyAlignment="1">
      <alignment horizontal="center" vertical="center" wrapText="1"/>
    </xf>
    <xf numFmtId="1" fontId="37" fillId="2" borderId="4" xfId="0" applyNumberFormat="1" applyFont="1" applyFill="1" applyBorder="1" applyAlignment="1">
      <alignment horizontal="center" vertical="center" wrapText="1"/>
    </xf>
    <xf numFmtId="1" fontId="37" fillId="2" borderId="3" xfId="0" applyNumberFormat="1" applyFont="1" applyFill="1" applyBorder="1" applyAlignment="1">
      <alignment horizontal="center" vertical="center" wrapText="1"/>
    </xf>
    <xf numFmtId="1" fontId="37" fillId="2" borderId="0" xfId="0" applyNumberFormat="1" applyFont="1" applyFill="1" applyBorder="1" applyAlignment="1">
      <alignment horizontal="center" vertical="center" wrapText="1"/>
    </xf>
    <xf numFmtId="1" fontId="37" fillId="2" borderId="12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9" fontId="12" fillId="2" borderId="1" xfId="0" applyNumberFormat="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2" fontId="19" fillId="2" borderId="1" xfId="0" applyNumberFormat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9" fillId="0" borderId="1" xfId="1" applyFont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20" xfId="0" applyNumberFormat="1" applyFont="1" applyFill="1" applyBorder="1" applyAlignment="1">
      <alignment horizontal="center" vertical="center" wrapText="1"/>
    </xf>
    <xf numFmtId="0" fontId="13" fillId="2" borderId="21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9" fontId="12" fillId="3" borderId="8" xfId="0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2" fontId="19" fillId="3" borderId="14" xfId="0" applyNumberFormat="1" applyFont="1" applyFill="1" applyBorder="1" applyAlignment="1">
      <alignment horizontal="center" vertical="center" wrapText="1"/>
    </xf>
    <xf numFmtId="2" fontId="19" fillId="3" borderId="15" xfId="0" applyNumberFormat="1" applyFont="1" applyFill="1" applyBorder="1" applyAlignment="1">
      <alignment horizontal="center" vertical="center" wrapText="1"/>
    </xf>
    <xf numFmtId="2" fontId="19" fillId="3" borderId="14" xfId="0" applyNumberFormat="1" applyFont="1" applyFill="1" applyBorder="1" applyAlignment="1">
      <alignment horizontal="center" vertical="center"/>
    </xf>
    <xf numFmtId="2" fontId="19" fillId="3" borderId="15" xfId="0" applyNumberFormat="1" applyFont="1" applyFill="1" applyBorder="1" applyAlignment="1">
      <alignment horizontal="center" vertical="center"/>
    </xf>
    <xf numFmtId="49" fontId="36" fillId="0" borderId="17" xfId="0" applyNumberFormat="1" applyFont="1" applyBorder="1" applyAlignment="1">
      <alignment horizontal="center" vertical="center" wrapText="1"/>
    </xf>
    <xf numFmtId="49" fontId="36" fillId="0" borderId="18" xfId="0" applyNumberFormat="1" applyFont="1" applyBorder="1" applyAlignment="1">
      <alignment horizontal="center" vertical="center" wrapText="1"/>
    </xf>
    <xf numFmtId="49" fontId="36" fillId="0" borderId="19" xfId="0" applyNumberFormat="1" applyFont="1" applyBorder="1" applyAlignment="1">
      <alignment horizontal="center" vertical="center" wrapText="1"/>
    </xf>
    <xf numFmtId="49" fontId="25" fillId="0" borderId="17" xfId="0" applyNumberFormat="1" applyFont="1" applyBorder="1" applyAlignment="1">
      <alignment horizontal="center" vertical="center" wrapText="1"/>
    </xf>
    <xf numFmtId="49" fontId="25" fillId="0" borderId="18" xfId="0" applyNumberFormat="1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2" fontId="19" fillId="0" borderId="17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0" fillId="0" borderId="1" xfId="3" applyBorder="1" applyAlignment="1">
      <alignment horizontal="center" vertical="top"/>
    </xf>
    <xf numFmtId="0" fontId="10" fillId="0" borderId="1" xfId="3" applyBorder="1" applyAlignment="1">
      <alignment horizontal="center" vertical="center" wrapText="1"/>
    </xf>
    <xf numFmtId="0" fontId="10" fillId="0" borderId="1" xfId="3" applyBorder="1" applyAlignment="1">
      <alignment horizontal="center" vertical="top" wrapText="1"/>
    </xf>
    <xf numFmtId="2" fontId="5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27" fillId="0" borderId="17" xfId="3" applyFont="1" applyBorder="1" applyAlignment="1">
      <alignment horizontal="center" vertical="center" wrapText="1"/>
    </xf>
    <xf numFmtId="0" fontId="27" fillId="0" borderId="18" xfId="3" applyFont="1" applyBorder="1" applyAlignment="1">
      <alignment horizontal="center" vertical="center" wrapText="1"/>
    </xf>
    <xf numFmtId="0" fontId="27" fillId="0" borderId="19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10" fillId="0" borderId="1" xfId="3" applyBorder="1" applyAlignment="1">
      <alignment horizontal="center"/>
    </xf>
    <xf numFmtId="0" fontId="29" fillId="0" borderId="1" xfId="3" applyFont="1" applyBorder="1" applyAlignment="1">
      <alignment horizontal="left" vertical="top" wrapText="1"/>
    </xf>
    <xf numFmtId="2" fontId="10" fillId="0" borderId="1" xfId="3" applyNumberFormat="1" applyBorder="1" applyAlignment="1">
      <alignment horizontal="center"/>
    </xf>
    <xf numFmtId="0" fontId="29" fillId="0" borderId="1" xfId="3" applyFont="1" applyBorder="1" applyAlignment="1">
      <alignment horizontal="left" vertical="top"/>
    </xf>
    <xf numFmtId="9" fontId="30" fillId="0" borderId="1" xfId="3" applyNumberFormat="1" applyFont="1" applyBorder="1" applyAlignment="1">
      <alignment horizontal="center" vertical="top"/>
    </xf>
    <xf numFmtId="0" fontId="30" fillId="0" borderId="1" xfId="3" applyFont="1" applyFill="1" applyBorder="1" applyAlignment="1">
      <alignment horizontal="center" vertical="top"/>
    </xf>
    <xf numFmtId="0" fontId="30" fillId="0" borderId="1" xfId="3" applyFont="1" applyBorder="1" applyAlignment="1">
      <alignment horizontal="center" vertical="top"/>
    </xf>
    <xf numFmtId="0" fontId="30" fillId="0" borderId="2" xfId="3" applyFont="1" applyFill="1" applyBorder="1" applyAlignment="1">
      <alignment horizontal="center" vertical="top"/>
    </xf>
    <xf numFmtId="49" fontId="30" fillId="0" borderId="1" xfId="3" applyNumberFormat="1" applyFont="1" applyBorder="1" applyAlignment="1">
      <alignment horizontal="center" vertical="top" wrapText="1"/>
    </xf>
    <xf numFmtId="0" fontId="29" fillId="0" borderId="5" xfId="4" applyFont="1" applyBorder="1" applyAlignment="1">
      <alignment horizontal="center" vertical="center" wrapText="1"/>
    </xf>
    <xf numFmtId="0" fontId="29" fillId="0" borderId="11" xfId="4" applyFont="1" applyBorder="1" applyAlignment="1">
      <alignment horizontal="center" vertical="center" wrapText="1"/>
    </xf>
    <xf numFmtId="0" fontId="29" fillId="0" borderId="4" xfId="4" applyFont="1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 wrapText="1"/>
    </xf>
    <xf numFmtId="0" fontId="29" fillId="0" borderId="0" xfId="4" applyFont="1" applyBorder="1" applyAlignment="1">
      <alignment horizontal="center" vertical="center" wrapText="1"/>
    </xf>
    <xf numFmtId="0" fontId="29" fillId="0" borderId="12" xfId="4" applyFont="1" applyBorder="1" applyAlignment="1">
      <alignment horizontal="center" vertical="center" wrapText="1"/>
    </xf>
    <xf numFmtId="0" fontId="29" fillId="0" borderId="7" xfId="4" applyFont="1" applyBorder="1" applyAlignment="1">
      <alignment horizontal="center" vertical="center" wrapText="1"/>
    </xf>
    <xf numFmtId="0" fontId="29" fillId="0" borderId="13" xfId="4" applyFont="1" applyBorder="1" applyAlignment="1">
      <alignment horizontal="center" vertical="center" wrapText="1"/>
    </xf>
    <xf numFmtId="0" fontId="29" fillId="0" borderId="6" xfId="4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 wrapText="1"/>
    </xf>
    <xf numFmtId="2" fontId="31" fillId="0" borderId="20" xfId="4" applyNumberFormat="1" applyFont="1" applyBorder="1" applyAlignment="1">
      <alignment horizontal="center" vertical="center"/>
    </xf>
    <xf numFmtId="2" fontId="31" fillId="0" borderId="21" xfId="4" applyNumberFormat="1" applyFont="1" applyBorder="1" applyAlignment="1">
      <alignment horizontal="center" vertical="center"/>
    </xf>
    <xf numFmtId="2" fontId="31" fillId="0" borderId="2" xfId="4" applyNumberFormat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top" wrapText="1"/>
    </xf>
    <xf numFmtId="0" fontId="29" fillId="0" borderId="11" xfId="4" applyFont="1" applyBorder="1" applyAlignment="1">
      <alignment horizontal="center" vertical="top" wrapText="1"/>
    </xf>
    <xf numFmtId="0" fontId="29" fillId="0" borderId="3" xfId="4" applyFont="1" applyBorder="1" applyAlignment="1">
      <alignment horizontal="center" vertical="top" wrapText="1"/>
    </xf>
    <xf numFmtId="0" fontId="29" fillId="0" borderId="0" xfId="4" applyFont="1" applyBorder="1" applyAlignment="1">
      <alignment horizontal="center" vertical="top" wrapText="1"/>
    </xf>
    <xf numFmtId="0" fontId="29" fillId="0" borderId="7" xfId="4" applyFont="1" applyBorder="1" applyAlignment="1">
      <alignment horizontal="center" vertical="top" wrapText="1"/>
    </xf>
    <xf numFmtId="0" fontId="29" fillId="0" borderId="13" xfId="4" applyFont="1" applyBorder="1" applyAlignment="1">
      <alignment horizontal="center" vertical="top" wrapText="1"/>
    </xf>
    <xf numFmtId="0" fontId="29" fillId="0" borderId="1" xfId="4" applyFont="1" applyBorder="1" applyAlignment="1">
      <alignment horizontal="center" vertical="center"/>
    </xf>
    <xf numFmtId="2" fontId="31" fillId="0" borderId="1" xfId="4" applyNumberFormat="1" applyFont="1" applyBorder="1" applyAlignment="1">
      <alignment horizontal="center" vertical="center"/>
    </xf>
    <xf numFmtId="0" fontId="28" fillId="0" borderId="1" xfId="4" applyFont="1" applyBorder="1" applyAlignment="1">
      <alignment horizontal="center" vertical="top" wrapText="1"/>
    </xf>
    <xf numFmtId="0" fontId="9" fillId="0" borderId="1" xfId="4" applyBorder="1" applyAlignment="1">
      <alignment horizontal="center" vertical="center"/>
    </xf>
    <xf numFmtId="0" fontId="9" fillId="0" borderId="1" xfId="4" applyBorder="1" applyAlignment="1">
      <alignment horizontal="center"/>
    </xf>
    <xf numFmtId="0" fontId="29" fillId="0" borderId="1" xfId="4" applyFont="1" applyBorder="1" applyAlignment="1">
      <alignment horizontal="center" vertical="top" wrapText="1"/>
    </xf>
    <xf numFmtId="2" fontId="31" fillId="0" borderId="1" xfId="4" applyNumberFormat="1" applyFont="1" applyBorder="1" applyAlignment="1">
      <alignment horizontal="center" vertical="center" wrapText="1"/>
    </xf>
    <xf numFmtId="0" fontId="32" fillId="0" borderId="1" xfId="4" applyFont="1" applyBorder="1" applyAlignment="1">
      <alignment horizontal="center" wrapText="1"/>
    </xf>
    <xf numFmtId="0" fontId="32" fillId="0" borderId="1" xfId="4" applyFont="1" applyBorder="1" applyAlignment="1">
      <alignment horizontal="center"/>
    </xf>
    <xf numFmtId="0" fontId="33" fillId="0" borderId="1" xfId="4" applyFont="1" applyBorder="1" applyAlignment="1">
      <alignment horizontal="center" vertical="top"/>
    </xf>
    <xf numFmtId="0" fontId="33" fillId="0" borderId="1" xfId="4" applyFont="1" applyBorder="1" applyAlignment="1">
      <alignment horizontal="center" vertical="top" wrapText="1"/>
    </xf>
    <xf numFmtId="2" fontId="33" fillId="0" borderId="1" xfId="4" applyNumberFormat="1" applyFont="1" applyBorder="1" applyAlignment="1">
      <alignment horizontal="center" vertical="center" wrapText="1"/>
    </xf>
    <xf numFmtId="0" fontId="41" fillId="0" borderId="1" xfId="4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/>
    </xf>
    <xf numFmtId="0" fontId="30" fillId="0" borderId="1" xfId="5" applyFont="1" applyBorder="1" applyAlignment="1">
      <alignment horizontal="center" vertical="top" wrapText="1"/>
    </xf>
    <xf numFmtId="0" fontId="8" fillId="0" borderId="1" xfId="5" applyBorder="1" applyAlignment="1">
      <alignment horizontal="center"/>
    </xf>
    <xf numFmtId="0" fontId="29" fillId="0" borderId="1" xfId="5" applyFont="1" applyBorder="1" applyAlignment="1">
      <alignment horizontal="center" vertical="center" wrapText="1"/>
    </xf>
    <xf numFmtId="2" fontId="31" fillId="0" borderId="1" xfId="5" applyNumberFormat="1" applyFont="1" applyBorder="1" applyAlignment="1">
      <alignment horizontal="center" vertical="center"/>
    </xf>
    <xf numFmtId="0" fontId="32" fillId="0" borderId="1" xfId="5" applyFont="1" applyBorder="1" applyAlignment="1">
      <alignment horizontal="center" wrapText="1"/>
    </xf>
    <xf numFmtId="0" fontId="32" fillId="0" borderId="1" xfId="5" applyFont="1" applyBorder="1" applyAlignment="1">
      <alignment horizontal="center"/>
    </xf>
    <xf numFmtId="0" fontId="33" fillId="0" borderId="1" xfId="5" applyFont="1" applyBorder="1" applyAlignment="1">
      <alignment horizontal="center" vertical="top"/>
    </xf>
    <xf numFmtId="0" fontId="33" fillId="0" borderId="1" xfId="5" applyFont="1" applyBorder="1" applyAlignment="1">
      <alignment horizontal="center" vertical="top" wrapText="1"/>
    </xf>
    <xf numFmtId="1" fontId="33" fillId="0" borderId="1" xfId="5" applyNumberFormat="1" applyFont="1" applyBorder="1" applyAlignment="1">
      <alignment horizontal="center" vertical="center" wrapText="1"/>
    </xf>
    <xf numFmtId="0" fontId="42" fillId="0" borderId="1" xfId="5" applyFont="1" applyBorder="1" applyAlignment="1">
      <alignment horizontal="center" vertical="center" wrapText="1"/>
    </xf>
    <xf numFmtId="0" fontId="34" fillId="0" borderId="1" xfId="6" applyFont="1" applyBorder="1" applyAlignment="1">
      <alignment horizontal="center"/>
    </xf>
    <xf numFmtId="0" fontId="39" fillId="0" borderId="1" xfId="6" applyFont="1" applyBorder="1" applyAlignment="1">
      <alignment horizontal="center" vertical="top"/>
    </xf>
    <xf numFmtId="0" fontId="39" fillId="0" borderId="1" xfId="6" applyFont="1" applyBorder="1" applyAlignment="1">
      <alignment horizontal="center" vertical="center"/>
    </xf>
    <xf numFmtId="0" fontId="39" fillId="0" borderId="1" xfId="6" applyFont="1" applyBorder="1" applyAlignment="1">
      <alignment horizontal="center" vertical="top" wrapText="1"/>
    </xf>
    <xf numFmtId="2" fontId="39" fillId="0" borderId="1" xfId="6" applyNumberFormat="1" applyFont="1" applyBorder="1" applyAlignment="1">
      <alignment horizontal="center" vertical="top" wrapText="1"/>
    </xf>
    <xf numFmtId="2" fontId="39" fillId="0" borderId="1" xfId="6" applyNumberFormat="1" applyFont="1" applyBorder="1" applyAlignment="1">
      <alignment horizontal="center" vertical="center" wrapText="1"/>
    </xf>
    <xf numFmtId="0" fontId="39" fillId="0" borderId="1" xfId="6" applyFont="1" applyBorder="1" applyAlignment="1">
      <alignment horizontal="center"/>
    </xf>
    <xf numFmtId="0" fontId="39" fillId="0" borderId="1" xfId="6" applyFont="1" applyBorder="1" applyAlignment="1">
      <alignment horizontal="center" vertical="center" wrapText="1"/>
    </xf>
    <xf numFmtId="0" fontId="43" fillId="0" borderId="1" xfId="6" applyFont="1" applyBorder="1" applyAlignment="1">
      <alignment horizontal="center" vertical="center" wrapText="1"/>
    </xf>
    <xf numFmtId="0" fontId="30" fillId="0" borderId="1" xfId="6" applyFont="1" applyBorder="1" applyAlignment="1">
      <alignment horizontal="center" vertical="center" wrapText="1"/>
    </xf>
    <xf numFmtId="0" fontId="38" fillId="0" borderId="1" xfId="6" applyFont="1" applyBorder="1" applyAlignment="1">
      <alignment horizontal="left" vertical="top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65" fontId="0" fillId="0" borderId="17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11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/>
    </xf>
    <xf numFmtId="0" fontId="27" fillId="0" borderId="1" xfId="3" applyFont="1" applyBorder="1" applyAlignment="1">
      <alignment horizontal="center" vertical="center" wrapText="1"/>
    </xf>
    <xf numFmtId="0" fontId="10" fillId="0" borderId="1" xfId="3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165" fontId="10" fillId="0" borderId="1" xfId="3" applyNumberFormat="1" applyBorder="1" applyAlignment="1">
      <alignment horizontal="center" vertical="center" wrapText="1"/>
    </xf>
    <xf numFmtId="0" fontId="35" fillId="0" borderId="17" xfId="7" applyBorder="1" applyAlignment="1">
      <alignment horizontal="center"/>
    </xf>
    <xf numFmtId="0" fontId="35" fillId="0" borderId="18" xfId="7" applyBorder="1" applyAlignment="1">
      <alignment horizontal="center"/>
    </xf>
    <xf numFmtId="0" fontId="35" fillId="0" borderId="19" xfId="7" applyBorder="1" applyAlignment="1">
      <alignment horizontal="center"/>
    </xf>
    <xf numFmtId="0" fontId="28" fillId="0" borderId="17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165" fontId="10" fillId="0" borderId="5" xfId="3" applyNumberFormat="1" applyBorder="1" applyAlignment="1">
      <alignment horizontal="center" vertical="center" wrapText="1"/>
    </xf>
    <xf numFmtId="165" fontId="10" fillId="0" borderId="11" xfId="3" applyNumberFormat="1" applyBorder="1" applyAlignment="1">
      <alignment horizontal="center" vertical="center" wrapText="1"/>
    </xf>
    <xf numFmtId="165" fontId="10" fillId="0" borderId="4" xfId="3" applyNumberFormat="1" applyBorder="1" applyAlignment="1">
      <alignment horizontal="center" vertical="center" wrapText="1"/>
    </xf>
    <xf numFmtId="165" fontId="10" fillId="0" borderId="3" xfId="3" applyNumberFormat="1" applyBorder="1" applyAlignment="1">
      <alignment horizontal="center" vertical="center" wrapText="1"/>
    </xf>
    <xf numFmtId="165" fontId="10" fillId="0" borderId="0" xfId="3" applyNumberFormat="1" applyBorder="1" applyAlignment="1">
      <alignment horizontal="center" vertical="center" wrapText="1"/>
    </xf>
    <xf numFmtId="165" fontId="10" fillId="0" borderId="12" xfId="3" applyNumberFormat="1" applyBorder="1" applyAlignment="1">
      <alignment horizontal="center" vertical="center" wrapText="1"/>
    </xf>
    <xf numFmtId="165" fontId="10" fillId="0" borderId="7" xfId="3" applyNumberFormat="1" applyBorder="1" applyAlignment="1">
      <alignment horizontal="center" vertical="center" wrapText="1"/>
    </xf>
    <xf numFmtId="165" fontId="10" fillId="0" borderId="13" xfId="3" applyNumberFormat="1" applyBorder="1" applyAlignment="1">
      <alignment horizontal="center" vertical="center" wrapText="1"/>
    </xf>
    <xf numFmtId="165" fontId="10" fillId="0" borderId="6" xfId="3" applyNumberForma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165" fontId="11" fillId="0" borderId="17" xfId="0" applyNumberFormat="1" applyFont="1" applyBorder="1" applyAlignment="1">
      <alignment horizontal="center" vertical="center" wrapText="1"/>
    </xf>
    <xf numFmtId="165" fontId="1" fillId="0" borderId="1" xfId="3" applyNumberFormat="1" applyFont="1" applyBorder="1" applyAlignment="1">
      <alignment horizontal="center" vertical="center" wrapText="1"/>
    </xf>
  </cellXfs>
  <cellStyles count="8">
    <cellStyle name="Гиперссылка" xfId="7" builtinId="8"/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pn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" Type="http://schemas.openxmlformats.org/officeDocument/2006/relationships/image" Target="../media/image36.jpeg"/><Relationship Id="rId21" Type="http://schemas.openxmlformats.org/officeDocument/2006/relationships/image" Target="../media/image54.jp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52.jp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1.jpeg"/><Relationship Id="rId7" Type="http://schemas.openxmlformats.org/officeDocument/2006/relationships/image" Target="../media/image59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58.jpeg"/><Relationship Id="rId5" Type="http://schemas.openxmlformats.org/officeDocument/2006/relationships/image" Target="../media/image57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7" Type="http://schemas.openxmlformats.org/officeDocument/2006/relationships/image" Target="../media/image68.jpe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7" Type="http://schemas.openxmlformats.org/officeDocument/2006/relationships/image" Target="../media/image75.jpeg"/><Relationship Id="rId2" Type="http://schemas.openxmlformats.org/officeDocument/2006/relationships/image" Target="../media/image70.png"/><Relationship Id="rId1" Type="http://schemas.openxmlformats.org/officeDocument/2006/relationships/image" Target="../media/image69.pn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9526</xdr:rowOff>
    </xdr:from>
    <xdr:to>
      <xdr:col>0</xdr:col>
      <xdr:colOff>1647031</xdr:colOff>
      <xdr:row>23</xdr:row>
      <xdr:rowOff>104776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76751"/>
          <a:ext cx="162798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</xdr:row>
      <xdr:rowOff>161925</xdr:rowOff>
    </xdr:from>
    <xdr:to>
      <xdr:col>0</xdr:col>
      <xdr:colOff>1656571</xdr:colOff>
      <xdr:row>10</xdr:row>
      <xdr:rowOff>238125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085975"/>
          <a:ext cx="159942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0</xdr:rowOff>
    </xdr:from>
    <xdr:to>
      <xdr:col>0</xdr:col>
      <xdr:colOff>1627993</xdr:colOff>
      <xdr:row>35</xdr:row>
      <xdr:rowOff>76199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457950"/>
          <a:ext cx="1599418" cy="1066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38</xdr:row>
      <xdr:rowOff>104776</xdr:rowOff>
    </xdr:from>
    <xdr:to>
      <xdr:col>0</xdr:col>
      <xdr:colOff>1628009</xdr:colOff>
      <xdr:row>46</xdr:row>
      <xdr:rowOff>161926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8372476"/>
          <a:ext cx="157085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0</xdr:col>
      <xdr:colOff>1599461</xdr:colOff>
      <xdr:row>56</xdr:row>
      <xdr:rowOff>47625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963150"/>
          <a:ext cx="1513736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</xdr:row>
      <xdr:rowOff>19050</xdr:rowOff>
    </xdr:from>
    <xdr:to>
      <xdr:col>0</xdr:col>
      <xdr:colOff>1609725</xdr:colOff>
      <xdr:row>67</xdr:row>
      <xdr:rowOff>19543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610975"/>
          <a:ext cx="1514475" cy="10101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0</xdr:rowOff>
    </xdr:from>
    <xdr:to>
      <xdr:col>0</xdr:col>
      <xdr:colOff>1618497</xdr:colOff>
      <xdr:row>78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544550"/>
          <a:ext cx="1542297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82</xdr:row>
      <xdr:rowOff>28575</xdr:rowOff>
    </xdr:from>
    <xdr:to>
      <xdr:col>0</xdr:col>
      <xdr:colOff>1618496</xdr:colOff>
      <xdr:row>89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420975"/>
          <a:ext cx="154229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28575</xdr:rowOff>
    </xdr:from>
    <xdr:to>
      <xdr:col>0</xdr:col>
      <xdr:colOff>1613755</xdr:colOff>
      <xdr:row>100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402175"/>
          <a:ext cx="149945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102</xdr:row>
      <xdr:rowOff>133351</xdr:rowOff>
    </xdr:from>
    <xdr:to>
      <xdr:col>0</xdr:col>
      <xdr:colOff>1618497</xdr:colOff>
      <xdr:row>110</xdr:row>
      <xdr:rowOff>161926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602076"/>
          <a:ext cx="1542297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113</xdr:row>
      <xdr:rowOff>28575</xdr:rowOff>
    </xdr:from>
    <xdr:to>
      <xdr:col>0</xdr:col>
      <xdr:colOff>1524000</xdr:colOff>
      <xdr:row>119</xdr:row>
      <xdr:rowOff>175059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173700"/>
          <a:ext cx="1333500" cy="88943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121</xdr:row>
      <xdr:rowOff>47626</xdr:rowOff>
    </xdr:from>
    <xdr:to>
      <xdr:col>0</xdr:col>
      <xdr:colOff>1552576</xdr:colOff>
      <xdr:row>127</xdr:row>
      <xdr:rowOff>206816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9259551"/>
          <a:ext cx="1352550" cy="9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128</xdr:row>
      <xdr:rowOff>76200</xdr:rowOff>
    </xdr:from>
    <xdr:to>
      <xdr:col>0</xdr:col>
      <xdr:colOff>1456740</xdr:colOff>
      <xdr:row>135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3079075"/>
          <a:ext cx="119956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380173</xdr:colOff>
      <xdr:row>136</xdr:row>
      <xdr:rowOff>93680</xdr:rowOff>
    </xdr:from>
    <xdr:to>
      <xdr:col>0</xdr:col>
      <xdr:colOff>1343024</xdr:colOff>
      <xdr:row>137</xdr:row>
      <xdr:rowOff>484534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0173" y="24087155"/>
          <a:ext cx="962851" cy="638504"/>
        </a:xfrm>
        <a:prstGeom prst="rect">
          <a:avLst/>
        </a:prstGeom>
      </xdr:spPr>
    </xdr:pic>
    <xdr:clientData/>
  </xdr:twoCellAnchor>
  <xdr:twoCellAnchor editAs="oneCell">
    <xdr:from>
      <xdr:col>0</xdr:col>
      <xdr:colOff>431028</xdr:colOff>
      <xdr:row>138</xdr:row>
      <xdr:rowOff>139728</xdr:rowOff>
    </xdr:from>
    <xdr:to>
      <xdr:col>0</xdr:col>
      <xdr:colOff>1390650</xdr:colOff>
      <xdr:row>139</xdr:row>
      <xdr:rowOff>521866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1028" y="25028553"/>
          <a:ext cx="959622" cy="6297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18</xdr:row>
      <xdr:rowOff>133350</xdr:rowOff>
    </xdr:from>
    <xdr:to>
      <xdr:col>0</xdr:col>
      <xdr:colOff>1085850</xdr:colOff>
      <xdr:row>18</xdr:row>
      <xdr:rowOff>361950</xdr:rowOff>
    </xdr:to>
    <xdr:pic>
      <xdr:nvPicPr>
        <xdr:cNvPr id="2" name="Picture 6" descr="good_45e9f9e489339_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"/>
          <a:ext cx="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18</xdr:row>
      <xdr:rowOff>152400</xdr:rowOff>
    </xdr:from>
    <xdr:to>
      <xdr:col>1</xdr:col>
      <xdr:colOff>514350</xdr:colOff>
      <xdr:row>18</xdr:row>
      <xdr:rowOff>371475</xdr:rowOff>
    </xdr:to>
    <xdr:pic>
      <xdr:nvPicPr>
        <xdr:cNvPr id="3" name="Picture 7" descr="good_45e9fa5431482_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19350"/>
          <a:ext cx="3143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438150</xdr:colOff>
      <xdr:row>3</xdr:row>
      <xdr:rowOff>76200</xdr:rowOff>
    </xdr:from>
    <xdr:ext cx="1428750" cy="952500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57300"/>
          <a:ext cx="14287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6</xdr:row>
      <xdr:rowOff>76200</xdr:rowOff>
    </xdr:from>
    <xdr:ext cx="1409700" cy="942975"/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90725"/>
          <a:ext cx="14097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9</xdr:row>
      <xdr:rowOff>123825</xdr:rowOff>
    </xdr:from>
    <xdr:ext cx="1200150" cy="800100"/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52775"/>
          <a:ext cx="1200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504825</xdr:colOff>
      <xdr:row>10</xdr:row>
      <xdr:rowOff>76200</xdr:rowOff>
    </xdr:from>
    <xdr:ext cx="1266825" cy="849607"/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276725"/>
          <a:ext cx="1266825" cy="849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12</xdr:row>
      <xdr:rowOff>66675</xdr:rowOff>
    </xdr:from>
    <xdr:ext cx="1447800" cy="962025"/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486400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13</xdr:row>
      <xdr:rowOff>66675</xdr:rowOff>
    </xdr:from>
    <xdr:ext cx="1390650" cy="923925"/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6629400"/>
          <a:ext cx="1390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466725</xdr:colOff>
      <xdr:row>17</xdr:row>
      <xdr:rowOff>66675</xdr:rowOff>
    </xdr:from>
    <xdr:ext cx="1304925" cy="866775"/>
    <xdr:pic>
      <xdr:nvPicPr>
        <xdr:cNvPr id="10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7170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19</xdr:row>
      <xdr:rowOff>95250</xdr:rowOff>
    </xdr:from>
    <xdr:ext cx="1362075" cy="914400"/>
    <xdr:pic>
      <xdr:nvPicPr>
        <xdr:cNvPr id="11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524125"/>
          <a:ext cx="1362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676277</xdr:colOff>
      <xdr:row>14</xdr:row>
      <xdr:rowOff>38101</xdr:rowOff>
    </xdr:from>
    <xdr:to>
      <xdr:col>1</xdr:col>
      <xdr:colOff>495301</xdr:colOff>
      <xdr:row>14</xdr:row>
      <xdr:rowOff>868664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7" y="7677151"/>
          <a:ext cx="1000124" cy="83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15</xdr:row>
      <xdr:rowOff>47625</xdr:rowOff>
    </xdr:from>
    <xdr:to>
      <xdr:col>1</xdr:col>
      <xdr:colOff>590550</xdr:colOff>
      <xdr:row>15</xdr:row>
      <xdr:rowOff>922408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8658225"/>
          <a:ext cx="1304925" cy="8747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6</xdr:row>
      <xdr:rowOff>123825</xdr:rowOff>
    </xdr:from>
    <xdr:to>
      <xdr:col>7</xdr:col>
      <xdr:colOff>190500</xdr:colOff>
      <xdr:row>13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04875"/>
          <a:ext cx="16573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142875</xdr:rowOff>
    </xdr:from>
    <xdr:to>
      <xdr:col>7</xdr:col>
      <xdr:colOff>171450</xdr:colOff>
      <xdr:row>21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14575"/>
          <a:ext cx="1638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114300</xdr:rowOff>
    </xdr:from>
    <xdr:to>
      <xdr:col>7</xdr:col>
      <xdr:colOff>180975</xdr:colOff>
      <xdr:row>29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743325"/>
          <a:ext cx="16668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30</xdr:row>
      <xdr:rowOff>57150</xdr:rowOff>
    </xdr:from>
    <xdr:to>
      <xdr:col>7</xdr:col>
      <xdr:colOff>161925</xdr:colOff>
      <xdr:row>36</xdr:row>
      <xdr:rowOff>104775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076825"/>
          <a:ext cx="1609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37</xdr:row>
      <xdr:rowOff>66675</xdr:rowOff>
    </xdr:from>
    <xdr:to>
      <xdr:col>7</xdr:col>
      <xdr:colOff>38101</xdr:colOff>
      <xdr:row>42</xdr:row>
      <xdr:rowOff>92074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2" y="6305550"/>
          <a:ext cx="1323974" cy="88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45</xdr:row>
      <xdr:rowOff>95250</xdr:rowOff>
    </xdr:from>
    <xdr:to>
      <xdr:col>7</xdr:col>
      <xdr:colOff>133351</xdr:colOff>
      <xdr:row>51</xdr:row>
      <xdr:rowOff>82551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7543800"/>
          <a:ext cx="1524000" cy="101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5</xdr:row>
      <xdr:rowOff>66676</xdr:rowOff>
    </xdr:from>
    <xdr:to>
      <xdr:col>7</xdr:col>
      <xdr:colOff>9525</xdr:colOff>
      <xdr:row>12</xdr:row>
      <xdr:rowOff>0</xdr:rowOff>
    </xdr:to>
    <xdr:pic>
      <xdr:nvPicPr>
        <xdr:cNvPr id="2" name="Рисунок 1" descr="C:\Users\Иван\Desktop\f5cdf1d20d71bd1f9889c5c5454aa15b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647701"/>
          <a:ext cx="1295399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13</xdr:row>
      <xdr:rowOff>47625</xdr:rowOff>
    </xdr:from>
    <xdr:to>
      <xdr:col>6</xdr:col>
      <xdr:colOff>152400</xdr:colOff>
      <xdr:row>20</xdr:row>
      <xdr:rowOff>19050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619250"/>
          <a:ext cx="117157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21</xdr:row>
      <xdr:rowOff>76200</xdr:rowOff>
    </xdr:from>
    <xdr:to>
      <xdr:col>6</xdr:col>
      <xdr:colOff>190501</xdr:colOff>
      <xdr:row>27</xdr:row>
      <xdr:rowOff>104775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638425"/>
          <a:ext cx="12382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28576</xdr:rowOff>
    </xdr:from>
    <xdr:to>
      <xdr:col>6</xdr:col>
      <xdr:colOff>53462</xdr:colOff>
      <xdr:row>35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581401"/>
          <a:ext cx="1101212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36</xdr:row>
      <xdr:rowOff>66675</xdr:rowOff>
    </xdr:from>
    <xdr:to>
      <xdr:col>6</xdr:col>
      <xdr:colOff>85724</xdr:colOff>
      <xdr:row>42</xdr:row>
      <xdr:rowOff>47978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486275"/>
          <a:ext cx="1085849" cy="72425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43</xdr:row>
      <xdr:rowOff>66676</xdr:rowOff>
    </xdr:from>
    <xdr:to>
      <xdr:col>6</xdr:col>
      <xdr:colOff>95250</xdr:colOff>
      <xdr:row>49</xdr:row>
      <xdr:rowOff>54332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5353051"/>
          <a:ext cx="1095374" cy="73060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54</xdr:row>
      <xdr:rowOff>57151</xdr:rowOff>
    </xdr:from>
    <xdr:to>
      <xdr:col>6</xdr:col>
      <xdr:colOff>76200</xdr:colOff>
      <xdr:row>60</xdr:row>
      <xdr:rowOff>44808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210301"/>
          <a:ext cx="1095375" cy="73060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61</xdr:row>
      <xdr:rowOff>76201</xdr:rowOff>
    </xdr:from>
    <xdr:to>
      <xdr:col>6</xdr:col>
      <xdr:colOff>104775</xdr:colOff>
      <xdr:row>67</xdr:row>
      <xdr:rowOff>44797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7096126"/>
          <a:ext cx="1066799" cy="71154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66677</xdr:colOff>
      <xdr:row>68</xdr:row>
      <xdr:rowOff>66676</xdr:rowOff>
    </xdr:from>
    <xdr:to>
      <xdr:col>6</xdr:col>
      <xdr:colOff>76200</xdr:colOff>
      <xdr:row>74</xdr:row>
      <xdr:rowOff>60684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7953376"/>
          <a:ext cx="1104898" cy="736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75</xdr:row>
      <xdr:rowOff>85725</xdr:rowOff>
    </xdr:from>
    <xdr:to>
      <xdr:col>6</xdr:col>
      <xdr:colOff>123825</xdr:colOff>
      <xdr:row>81</xdr:row>
      <xdr:rowOff>28909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9867900"/>
          <a:ext cx="1028699" cy="68613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82</xdr:row>
      <xdr:rowOff>104776</xdr:rowOff>
    </xdr:from>
    <xdr:to>
      <xdr:col>6</xdr:col>
      <xdr:colOff>123826</xdr:colOff>
      <xdr:row>88</xdr:row>
      <xdr:rowOff>98785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5049501"/>
          <a:ext cx="1104900" cy="73695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90</xdr:row>
      <xdr:rowOff>28575</xdr:rowOff>
    </xdr:from>
    <xdr:to>
      <xdr:col>6</xdr:col>
      <xdr:colOff>19050</xdr:colOff>
      <xdr:row>95</xdr:row>
      <xdr:rowOff>51112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16125825"/>
          <a:ext cx="962024" cy="64166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96</xdr:row>
      <xdr:rowOff>66676</xdr:rowOff>
    </xdr:from>
    <xdr:to>
      <xdr:col>6</xdr:col>
      <xdr:colOff>57150</xdr:colOff>
      <xdr:row>102</xdr:row>
      <xdr:rowOff>16214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2830176"/>
          <a:ext cx="1038225" cy="69248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103</xdr:row>
      <xdr:rowOff>104777</xdr:rowOff>
    </xdr:from>
    <xdr:to>
      <xdr:col>6</xdr:col>
      <xdr:colOff>9525</xdr:colOff>
      <xdr:row>109</xdr:row>
      <xdr:rowOff>8893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3735052"/>
          <a:ext cx="971549" cy="64706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110</xdr:row>
      <xdr:rowOff>38101</xdr:rowOff>
    </xdr:from>
    <xdr:to>
      <xdr:col>6</xdr:col>
      <xdr:colOff>114300</xdr:colOff>
      <xdr:row>116</xdr:row>
      <xdr:rowOff>44817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14535151"/>
          <a:ext cx="1123949" cy="74966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117</xdr:row>
      <xdr:rowOff>76201</xdr:rowOff>
    </xdr:from>
    <xdr:to>
      <xdr:col>6</xdr:col>
      <xdr:colOff>152400</xdr:colOff>
      <xdr:row>123</xdr:row>
      <xdr:rowOff>75475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5440026"/>
          <a:ext cx="1114424" cy="7422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124</xdr:row>
      <xdr:rowOff>66676</xdr:rowOff>
    </xdr:from>
    <xdr:to>
      <xdr:col>6</xdr:col>
      <xdr:colOff>85726</xdr:colOff>
      <xdr:row>130</xdr:row>
      <xdr:rowOff>21544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6297276"/>
          <a:ext cx="1047750" cy="69781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131</xdr:row>
      <xdr:rowOff>66675</xdr:rowOff>
    </xdr:from>
    <xdr:to>
      <xdr:col>6</xdr:col>
      <xdr:colOff>76200</xdr:colOff>
      <xdr:row>137</xdr:row>
      <xdr:rowOff>3506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17164050"/>
          <a:ext cx="1019174" cy="67978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50</xdr:row>
      <xdr:rowOff>28575</xdr:rowOff>
    </xdr:from>
    <xdr:to>
      <xdr:col>7</xdr:col>
      <xdr:colOff>33338</xdr:colOff>
      <xdr:row>50</xdr:row>
      <xdr:rowOff>990600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181725"/>
          <a:ext cx="1443038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51</xdr:row>
      <xdr:rowOff>28576</xdr:rowOff>
    </xdr:from>
    <xdr:to>
      <xdr:col>7</xdr:col>
      <xdr:colOff>57150</xdr:colOff>
      <xdr:row>51</xdr:row>
      <xdr:rowOff>1000126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181851"/>
          <a:ext cx="145732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52</xdr:row>
      <xdr:rowOff>28575</xdr:rowOff>
    </xdr:from>
    <xdr:to>
      <xdr:col>7</xdr:col>
      <xdr:colOff>161925</xdr:colOff>
      <xdr:row>52</xdr:row>
      <xdr:rowOff>1133475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210550"/>
          <a:ext cx="165735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</xdr:row>
      <xdr:rowOff>38100</xdr:rowOff>
    </xdr:from>
    <xdr:to>
      <xdr:col>7</xdr:col>
      <xdr:colOff>171450</xdr:colOff>
      <xdr:row>53</xdr:row>
      <xdr:rowOff>1143000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72600"/>
          <a:ext cx="1657350" cy="110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43</xdr:row>
      <xdr:rowOff>85726</xdr:rowOff>
    </xdr:from>
    <xdr:to>
      <xdr:col>6</xdr:col>
      <xdr:colOff>133350</xdr:colOff>
      <xdr:row>47</xdr:row>
      <xdr:rowOff>124218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6267451"/>
          <a:ext cx="1200151" cy="8004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50</xdr:row>
      <xdr:rowOff>66675</xdr:rowOff>
    </xdr:from>
    <xdr:to>
      <xdr:col>6</xdr:col>
      <xdr:colOff>161925</xdr:colOff>
      <xdr:row>55</xdr:row>
      <xdr:rowOff>57567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619875"/>
          <a:ext cx="1285874" cy="85766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57</xdr:row>
      <xdr:rowOff>66676</xdr:rowOff>
    </xdr:from>
    <xdr:to>
      <xdr:col>6</xdr:col>
      <xdr:colOff>47625</xdr:colOff>
      <xdr:row>61</xdr:row>
      <xdr:rowOff>108301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7562851"/>
          <a:ext cx="1076324" cy="71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</xdr:row>
      <xdr:rowOff>66676</xdr:rowOff>
    </xdr:from>
    <xdr:to>
      <xdr:col>6</xdr:col>
      <xdr:colOff>208894</xdr:colOff>
      <xdr:row>10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647701"/>
          <a:ext cx="1342368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13</xdr:row>
      <xdr:rowOff>57150</xdr:rowOff>
    </xdr:from>
    <xdr:to>
      <xdr:col>7</xdr:col>
      <xdr:colOff>23150</xdr:colOff>
      <xdr:row>18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47825"/>
          <a:ext cx="13566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47625</xdr:rowOff>
    </xdr:from>
    <xdr:to>
      <xdr:col>6</xdr:col>
      <xdr:colOff>200026</xdr:colOff>
      <xdr:row>25</xdr:row>
      <xdr:rowOff>149647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638425"/>
          <a:ext cx="1295400" cy="864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29</xdr:row>
      <xdr:rowOff>76200</xdr:rowOff>
    </xdr:from>
    <xdr:to>
      <xdr:col>6</xdr:col>
      <xdr:colOff>123226</xdr:colOff>
      <xdr:row>33</xdr:row>
      <xdr:rowOff>133350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152900"/>
          <a:ext cx="122812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36</xdr:row>
      <xdr:rowOff>76200</xdr:rowOff>
    </xdr:from>
    <xdr:to>
      <xdr:col>6</xdr:col>
      <xdr:colOff>128012</xdr:colOff>
      <xdr:row>40</xdr:row>
      <xdr:rowOff>104776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219700"/>
          <a:ext cx="1185286" cy="79057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64</xdr:row>
      <xdr:rowOff>66675</xdr:rowOff>
    </xdr:from>
    <xdr:to>
      <xdr:col>6</xdr:col>
      <xdr:colOff>171451</xdr:colOff>
      <xdr:row>68</xdr:row>
      <xdr:rowOff>178197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429625"/>
          <a:ext cx="1209676" cy="8068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42</xdr:row>
      <xdr:rowOff>180974</xdr:rowOff>
    </xdr:from>
    <xdr:to>
      <xdr:col>6</xdr:col>
      <xdr:colOff>68036</xdr:colOff>
      <xdr:row>47</xdr:row>
      <xdr:rowOff>180975</xdr:rowOff>
    </xdr:to>
    <xdr:pic>
      <xdr:nvPicPr>
        <xdr:cNvPr id="2" name="Рисунок 1" descr="уплотнитель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2" t="17107" r="19829" b="17915"/>
        <a:stretch>
          <a:fillRect/>
        </a:stretch>
      </xdr:blipFill>
      <xdr:spPr bwMode="auto">
        <a:xfrm>
          <a:off x="419100" y="7086599"/>
          <a:ext cx="963386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50</xdr:row>
      <xdr:rowOff>133350</xdr:rowOff>
    </xdr:from>
    <xdr:to>
      <xdr:col>6</xdr:col>
      <xdr:colOff>57150</xdr:colOff>
      <xdr:row>56</xdr:row>
      <xdr:rowOff>104775</xdr:rowOff>
    </xdr:to>
    <xdr:pic>
      <xdr:nvPicPr>
        <xdr:cNvPr id="3" name="Рисунок 2" descr="md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105775"/>
          <a:ext cx="962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133351</xdr:colOff>
      <xdr:row>58</xdr:row>
      <xdr:rowOff>104775</xdr:rowOff>
    </xdr:from>
    <xdr:to>
      <xdr:col>6</xdr:col>
      <xdr:colOff>200025</xdr:colOff>
      <xdr:row>64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8296275"/>
          <a:ext cx="942974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</xdr:row>
      <xdr:rowOff>123824</xdr:rowOff>
    </xdr:from>
    <xdr:to>
      <xdr:col>7</xdr:col>
      <xdr:colOff>209550</xdr:colOff>
      <xdr:row>14</xdr:row>
      <xdr:rowOff>84775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66774"/>
          <a:ext cx="1457325" cy="9706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15</xdr:row>
      <xdr:rowOff>85726</xdr:rowOff>
    </xdr:from>
    <xdr:to>
      <xdr:col>7</xdr:col>
      <xdr:colOff>257175</xdr:colOff>
      <xdr:row>23</xdr:row>
      <xdr:rowOff>105259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2028826"/>
          <a:ext cx="1485899" cy="9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24</xdr:row>
      <xdr:rowOff>104775</xdr:rowOff>
    </xdr:from>
    <xdr:to>
      <xdr:col>7</xdr:col>
      <xdr:colOff>257175</xdr:colOff>
      <xdr:row>32</xdr:row>
      <xdr:rowOff>86208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3248025"/>
          <a:ext cx="1485899" cy="9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9525</xdr:rowOff>
    </xdr:from>
    <xdr:to>
      <xdr:col>7</xdr:col>
      <xdr:colOff>180975</xdr:colOff>
      <xdr:row>39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543425"/>
          <a:ext cx="1400175" cy="933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8</xdr:row>
      <xdr:rowOff>133350</xdr:rowOff>
    </xdr:from>
    <xdr:to>
      <xdr:col>6</xdr:col>
      <xdr:colOff>1457324</xdr:colOff>
      <xdr:row>47</xdr:row>
      <xdr:rowOff>66675</xdr:rowOff>
    </xdr:to>
    <xdr:pic>
      <xdr:nvPicPr>
        <xdr:cNvPr id="9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2047875"/>
          <a:ext cx="3324225" cy="2047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94092</xdr:colOff>
      <xdr:row>1</xdr:row>
      <xdr:rowOff>123826</xdr:rowOff>
    </xdr:from>
    <xdr:to>
      <xdr:col>6</xdr:col>
      <xdr:colOff>1266825</xdr:colOff>
      <xdr:row>1</xdr:row>
      <xdr:rowOff>718173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092" y="361951"/>
          <a:ext cx="3477783" cy="59434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121</xdr:row>
      <xdr:rowOff>47625</xdr:rowOff>
    </xdr:from>
    <xdr:to>
      <xdr:col>4</xdr:col>
      <xdr:colOff>247650</xdr:colOff>
      <xdr:row>121</xdr:row>
      <xdr:rowOff>612222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8763000"/>
          <a:ext cx="847725" cy="56459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122</xdr:row>
      <xdr:rowOff>47625</xdr:rowOff>
    </xdr:from>
    <xdr:to>
      <xdr:col>4</xdr:col>
      <xdr:colOff>238125</xdr:colOff>
      <xdr:row>122</xdr:row>
      <xdr:rowOff>606698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9410700"/>
          <a:ext cx="838199" cy="55907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123</xdr:row>
      <xdr:rowOff>76201</xdr:rowOff>
    </xdr:from>
    <xdr:to>
      <xdr:col>4</xdr:col>
      <xdr:colOff>238879</xdr:colOff>
      <xdr:row>123</xdr:row>
      <xdr:rowOff>590551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0086976"/>
          <a:ext cx="772279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124</xdr:row>
      <xdr:rowOff>66675</xdr:rowOff>
    </xdr:from>
    <xdr:to>
      <xdr:col>4</xdr:col>
      <xdr:colOff>210304</xdr:colOff>
      <xdr:row>124</xdr:row>
      <xdr:rowOff>581025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725150"/>
          <a:ext cx="772279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125</xdr:row>
      <xdr:rowOff>66675</xdr:rowOff>
    </xdr:from>
    <xdr:to>
      <xdr:col>4</xdr:col>
      <xdr:colOff>171450</xdr:colOff>
      <xdr:row>125</xdr:row>
      <xdr:rowOff>568570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1372850"/>
          <a:ext cx="752475" cy="5018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inlux-m.ru/catalog/komplanarnaya_sistema_razdvizheniya_dverey_op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201"/>
  <sheetViews>
    <sheetView view="pageBreakPreview" zoomScaleNormal="100" zoomScaleSheetLayoutView="100" workbookViewId="0">
      <selection activeCell="A3" sqref="A3:A4"/>
    </sheetView>
  </sheetViews>
  <sheetFormatPr defaultColWidth="9.140625" defaultRowHeight="12.75" x14ac:dyDescent="0.2"/>
  <cols>
    <col min="1" max="1" width="25" style="1" customWidth="1"/>
    <col min="2" max="2" width="15.140625" style="1" customWidth="1"/>
    <col min="3" max="3" width="14.7109375" style="1" customWidth="1"/>
    <col min="4" max="4" width="6.7109375" style="1" customWidth="1"/>
    <col min="5" max="5" width="7.140625" style="1" customWidth="1"/>
    <col min="6" max="6" width="9.140625" style="1" customWidth="1"/>
    <col min="7" max="9" width="0" style="1" hidden="1" customWidth="1"/>
    <col min="10" max="10" width="9.5703125" style="9" bestFit="1" customWidth="1"/>
    <col min="11" max="11" width="9.140625" style="1"/>
    <col min="12" max="12" width="10.7109375" style="1" bestFit="1" customWidth="1"/>
    <col min="13" max="13" width="9.140625" style="1"/>
    <col min="14" max="14" width="9.140625" style="2"/>
    <col min="15" max="15" width="0" style="40" hidden="1" customWidth="1"/>
    <col min="16" max="16384" width="9.140625" style="1"/>
  </cols>
  <sheetData>
    <row r="1" spans="1:15" ht="16.5" customHeight="1" x14ac:dyDescent="0.2">
      <c r="A1" s="125" t="s">
        <v>29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72">
        <v>70</v>
      </c>
    </row>
    <row r="2" spans="1:15" ht="35.25" customHeight="1" thickBot="1" x14ac:dyDescent="0.25">
      <c r="A2" s="134" t="s">
        <v>227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</row>
    <row r="3" spans="1:15" ht="12.75" customHeight="1" x14ac:dyDescent="0.2">
      <c r="A3" s="115" t="s">
        <v>0</v>
      </c>
      <c r="B3" s="115" t="s">
        <v>35</v>
      </c>
      <c r="C3" s="116" t="s">
        <v>1</v>
      </c>
      <c r="D3" s="117" t="s">
        <v>26</v>
      </c>
      <c r="E3" s="117" t="s">
        <v>2</v>
      </c>
      <c r="F3" s="117" t="s">
        <v>17</v>
      </c>
      <c r="G3" s="126" t="s">
        <v>15</v>
      </c>
      <c r="H3" s="126" t="s">
        <v>14</v>
      </c>
      <c r="I3" s="126" t="s">
        <v>16</v>
      </c>
      <c r="J3" s="109">
        <v>0.1</v>
      </c>
      <c r="K3" s="109">
        <v>0.13</v>
      </c>
      <c r="L3" s="109">
        <v>0.15</v>
      </c>
      <c r="M3" s="109">
        <v>0.17</v>
      </c>
      <c r="N3" s="110">
        <v>0.2</v>
      </c>
      <c r="O3" s="128">
        <v>0.28000000000000003</v>
      </c>
    </row>
    <row r="4" spans="1:15" ht="51.95" customHeight="1" thickBot="1" x14ac:dyDescent="0.25">
      <c r="A4" s="115"/>
      <c r="B4" s="115"/>
      <c r="C4" s="116"/>
      <c r="D4" s="117"/>
      <c r="E4" s="117"/>
      <c r="F4" s="117"/>
      <c r="G4" s="126"/>
      <c r="H4" s="127"/>
      <c r="I4" s="126"/>
      <c r="J4" s="109"/>
      <c r="K4" s="109"/>
      <c r="L4" s="109"/>
      <c r="M4" s="109"/>
      <c r="N4" s="110"/>
      <c r="O4" s="129"/>
    </row>
    <row r="5" spans="1:15" ht="20.100000000000001" customHeight="1" x14ac:dyDescent="0.2">
      <c r="A5" s="118"/>
      <c r="B5" s="119" t="s">
        <v>30</v>
      </c>
      <c r="C5" s="14" t="s">
        <v>23</v>
      </c>
      <c r="D5" s="121">
        <v>12</v>
      </c>
      <c r="E5" s="17">
        <v>5400</v>
      </c>
      <c r="F5" s="52">
        <f>18.15*N1</f>
        <v>1270.5</v>
      </c>
      <c r="G5" s="73"/>
      <c r="H5" s="74"/>
      <c r="I5" s="73"/>
      <c r="J5" s="52">
        <f t="shared" ref="J5:J14" si="0">F5*0.9</f>
        <v>1143.45</v>
      </c>
      <c r="K5" s="52">
        <f t="shared" ref="K5:K14" si="1">F5*0.87</f>
        <v>1105.335</v>
      </c>
      <c r="L5" s="52">
        <f t="shared" ref="L5:L14" si="2">F5*0.85</f>
        <v>1079.925</v>
      </c>
      <c r="M5" s="52">
        <f t="shared" ref="M5:M14" si="3">F5*0.83</f>
        <v>1054.5149999999999</v>
      </c>
      <c r="N5" s="58">
        <f>F5*0.8</f>
        <v>1016.4000000000001</v>
      </c>
      <c r="O5" s="41">
        <f>F5*0.72</f>
        <v>914.76</v>
      </c>
    </row>
    <row r="6" spans="1:15" ht="20.100000000000001" customHeight="1" x14ac:dyDescent="0.2">
      <c r="A6" s="118"/>
      <c r="B6" s="119"/>
      <c r="C6" s="14" t="s">
        <v>23</v>
      </c>
      <c r="D6" s="122"/>
      <c r="E6" s="17">
        <v>4800</v>
      </c>
      <c r="F6" s="52">
        <f>16.13*N1</f>
        <v>1129.0999999999999</v>
      </c>
      <c r="G6" s="73"/>
      <c r="H6" s="74"/>
      <c r="I6" s="73"/>
      <c r="J6" s="52">
        <f t="shared" si="0"/>
        <v>1016.1899999999999</v>
      </c>
      <c r="K6" s="52">
        <f t="shared" si="1"/>
        <v>982.31699999999989</v>
      </c>
      <c r="L6" s="52">
        <f t="shared" si="2"/>
        <v>959.7349999999999</v>
      </c>
      <c r="M6" s="52">
        <f t="shared" si="3"/>
        <v>937.15299999999991</v>
      </c>
      <c r="N6" s="58">
        <f t="shared" ref="N6:N14" si="4">F6*0.8</f>
        <v>903.28</v>
      </c>
      <c r="O6" s="41">
        <f t="shared" ref="O6:O14" si="5">F6*0.72</f>
        <v>812.95199999999988</v>
      </c>
    </row>
    <row r="7" spans="1:15" ht="20.100000000000001" customHeight="1" x14ac:dyDescent="0.2">
      <c r="A7" s="118"/>
      <c r="B7" s="119"/>
      <c r="C7" s="14" t="s">
        <v>24</v>
      </c>
      <c r="D7" s="122"/>
      <c r="E7" s="18">
        <v>5400</v>
      </c>
      <c r="F7" s="52">
        <f>19.3*N1</f>
        <v>1351</v>
      </c>
      <c r="G7" s="15"/>
      <c r="H7" s="16"/>
      <c r="I7" s="15"/>
      <c r="J7" s="52">
        <f t="shared" si="0"/>
        <v>1215.9000000000001</v>
      </c>
      <c r="K7" s="52">
        <f t="shared" si="1"/>
        <v>1175.3699999999999</v>
      </c>
      <c r="L7" s="52">
        <f t="shared" si="2"/>
        <v>1148.3499999999999</v>
      </c>
      <c r="M7" s="52">
        <f t="shared" si="3"/>
        <v>1121.33</v>
      </c>
      <c r="N7" s="58">
        <f t="shared" si="4"/>
        <v>1080.8</v>
      </c>
      <c r="O7" s="41">
        <f t="shared" si="5"/>
        <v>972.71999999999991</v>
      </c>
    </row>
    <row r="8" spans="1:15" ht="20.100000000000001" customHeight="1" x14ac:dyDescent="0.2">
      <c r="A8" s="118"/>
      <c r="B8" s="119"/>
      <c r="C8" s="14" t="s">
        <v>24</v>
      </c>
      <c r="D8" s="122"/>
      <c r="E8" s="18">
        <v>4800</v>
      </c>
      <c r="F8" s="52">
        <f>17.16*N1</f>
        <v>1201.2</v>
      </c>
      <c r="G8" s="15"/>
      <c r="H8" s="16"/>
      <c r="I8" s="15"/>
      <c r="J8" s="52">
        <f t="shared" si="0"/>
        <v>1081.0800000000002</v>
      </c>
      <c r="K8" s="52">
        <f t="shared" si="1"/>
        <v>1045.0440000000001</v>
      </c>
      <c r="L8" s="52">
        <f t="shared" si="2"/>
        <v>1021.02</v>
      </c>
      <c r="M8" s="52">
        <f t="shared" si="3"/>
        <v>996.99599999999998</v>
      </c>
      <c r="N8" s="58">
        <f t="shared" si="4"/>
        <v>960.96</v>
      </c>
      <c r="O8" s="41">
        <f t="shared" si="5"/>
        <v>864.86400000000003</v>
      </c>
    </row>
    <row r="9" spans="1:15" ht="20.100000000000001" customHeight="1" x14ac:dyDescent="0.2">
      <c r="A9" s="118"/>
      <c r="B9" s="119"/>
      <c r="C9" s="14" t="s">
        <v>25</v>
      </c>
      <c r="D9" s="122"/>
      <c r="E9" s="17">
        <v>5400</v>
      </c>
      <c r="F9" s="52">
        <f>18.43*N1</f>
        <v>1290.0999999999999</v>
      </c>
      <c r="G9" s="15"/>
      <c r="H9" s="16"/>
      <c r="I9" s="15"/>
      <c r="J9" s="52">
        <f t="shared" si="0"/>
        <v>1161.0899999999999</v>
      </c>
      <c r="K9" s="52">
        <f t="shared" si="1"/>
        <v>1122.3869999999999</v>
      </c>
      <c r="L9" s="52">
        <f t="shared" si="2"/>
        <v>1096.5849999999998</v>
      </c>
      <c r="M9" s="52">
        <f t="shared" si="3"/>
        <v>1070.7829999999999</v>
      </c>
      <c r="N9" s="58">
        <f t="shared" si="4"/>
        <v>1032.08</v>
      </c>
      <c r="O9" s="41">
        <f t="shared" si="5"/>
        <v>928.87199999999984</v>
      </c>
    </row>
    <row r="10" spans="1:15" ht="20.100000000000001" customHeight="1" x14ac:dyDescent="0.2">
      <c r="A10" s="118"/>
      <c r="B10" s="119"/>
      <c r="C10" s="14" t="s">
        <v>25</v>
      </c>
      <c r="D10" s="122"/>
      <c r="E10" s="17">
        <v>4800</v>
      </c>
      <c r="F10" s="52">
        <f>16.39*N1</f>
        <v>1147.3</v>
      </c>
      <c r="G10" s="15"/>
      <c r="H10" s="16"/>
      <c r="I10" s="15"/>
      <c r="J10" s="52">
        <f t="shared" si="0"/>
        <v>1032.57</v>
      </c>
      <c r="K10" s="52">
        <f t="shared" si="1"/>
        <v>998.15099999999995</v>
      </c>
      <c r="L10" s="52">
        <f t="shared" si="2"/>
        <v>975.20499999999993</v>
      </c>
      <c r="M10" s="52">
        <f t="shared" si="3"/>
        <v>952.2589999999999</v>
      </c>
      <c r="N10" s="58">
        <f t="shared" si="4"/>
        <v>917.84</v>
      </c>
      <c r="O10" s="41">
        <f t="shared" si="5"/>
        <v>826.05599999999993</v>
      </c>
    </row>
    <row r="11" spans="1:15" ht="20.100000000000001" customHeight="1" x14ac:dyDescent="0.2">
      <c r="A11" s="118"/>
      <c r="B11" s="119"/>
      <c r="C11" s="14" t="s">
        <v>22</v>
      </c>
      <c r="D11" s="122"/>
      <c r="E11" s="17">
        <v>5400</v>
      </c>
      <c r="F11" s="52">
        <f>18.82*N1</f>
        <v>1317.4</v>
      </c>
      <c r="G11" s="15"/>
      <c r="H11" s="16"/>
      <c r="I11" s="15"/>
      <c r="J11" s="52">
        <f t="shared" si="0"/>
        <v>1185.6600000000001</v>
      </c>
      <c r="K11" s="52">
        <f t="shared" si="1"/>
        <v>1146.1380000000001</v>
      </c>
      <c r="L11" s="52">
        <f t="shared" si="2"/>
        <v>1119.79</v>
      </c>
      <c r="M11" s="52">
        <f t="shared" si="3"/>
        <v>1093.442</v>
      </c>
      <c r="N11" s="58">
        <f t="shared" si="4"/>
        <v>1053.92</v>
      </c>
      <c r="O11" s="41">
        <f t="shared" si="5"/>
        <v>948.52800000000002</v>
      </c>
    </row>
    <row r="12" spans="1:15" ht="20.100000000000001" customHeight="1" x14ac:dyDescent="0.2">
      <c r="A12" s="118"/>
      <c r="B12" s="119"/>
      <c r="C12" s="14" t="s">
        <v>22</v>
      </c>
      <c r="D12" s="123"/>
      <c r="E12" s="17">
        <v>4800</v>
      </c>
      <c r="F12" s="52">
        <f>16.73*N1</f>
        <v>1171.1000000000001</v>
      </c>
      <c r="G12" s="15"/>
      <c r="H12" s="16"/>
      <c r="I12" s="15"/>
      <c r="J12" s="52">
        <f t="shared" si="0"/>
        <v>1053.9900000000002</v>
      </c>
      <c r="K12" s="52">
        <f t="shared" si="1"/>
        <v>1018.8570000000001</v>
      </c>
      <c r="L12" s="52">
        <f t="shared" si="2"/>
        <v>995.43500000000006</v>
      </c>
      <c r="M12" s="52">
        <f t="shared" si="3"/>
        <v>972.01300000000003</v>
      </c>
      <c r="N12" s="58">
        <f t="shared" si="4"/>
        <v>936.88000000000011</v>
      </c>
      <c r="O12" s="41">
        <f t="shared" si="5"/>
        <v>843.19200000000012</v>
      </c>
    </row>
    <row r="13" spans="1:15" ht="28.5" customHeight="1" x14ac:dyDescent="0.2">
      <c r="A13" s="118"/>
      <c r="B13" s="119"/>
      <c r="C13" s="14" t="s">
        <v>185</v>
      </c>
      <c r="D13" s="120">
        <v>10</v>
      </c>
      <c r="E13" s="17">
        <v>5400</v>
      </c>
      <c r="F13" s="52">
        <v>1009</v>
      </c>
      <c r="G13" s="15"/>
      <c r="H13" s="16"/>
      <c r="I13" s="15"/>
      <c r="J13" s="52">
        <f t="shared" si="0"/>
        <v>908.1</v>
      </c>
      <c r="K13" s="52">
        <f t="shared" si="1"/>
        <v>877.83</v>
      </c>
      <c r="L13" s="52">
        <f t="shared" si="2"/>
        <v>857.65</v>
      </c>
      <c r="M13" s="52">
        <f t="shared" si="3"/>
        <v>837.46999999999991</v>
      </c>
      <c r="N13" s="58">
        <f t="shared" si="4"/>
        <v>807.2</v>
      </c>
      <c r="O13" s="41">
        <f t="shared" si="5"/>
        <v>726.48</v>
      </c>
    </row>
    <row r="14" spans="1:15" ht="41.45" customHeight="1" x14ac:dyDescent="0.2">
      <c r="A14" s="118"/>
      <c r="B14" s="119"/>
      <c r="C14" s="14" t="s">
        <v>188</v>
      </c>
      <c r="D14" s="120"/>
      <c r="E14" s="17">
        <v>5400</v>
      </c>
      <c r="F14" s="52">
        <v>1330</v>
      </c>
      <c r="G14" s="15"/>
      <c r="H14" s="16"/>
      <c r="I14" s="15"/>
      <c r="J14" s="52">
        <f t="shared" si="0"/>
        <v>1197</v>
      </c>
      <c r="K14" s="52">
        <f t="shared" si="1"/>
        <v>1157.0999999999999</v>
      </c>
      <c r="L14" s="52">
        <f t="shared" si="2"/>
        <v>1130.5</v>
      </c>
      <c r="M14" s="52">
        <f t="shared" si="3"/>
        <v>1103.8999999999999</v>
      </c>
      <c r="N14" s="58">
        <f t="shared" si="4"/>
        <v>1064</v>
      </c>
      <c r="O14" s="41">
        <f t="shared" si="5"/>
        <v>957.59999999999991</v>
      </c>
    </row>
    <row r="15" spans="1:15" ht="10.15" customHeight="1" x14ac:dyDescent="0.2">
      <c r="A15" s="101"/>
      <c r="B15" s="101" t="s">
        <v>31</v>
      </c>
      <c r="C15" s="106" t="s">
        <v>23</v>
      </c>
      <c r="D15" s="103">
        <v>12</v>
      </c>
      <c r="E15" s="104">
        <v>5400</v>
      </c>
      <c r="F15" s="111">
        <f>21.17*N1</f>
        <v>1481.9</v>
      </c>
      <c r="G15" s="111">
        <v>610</v>
      </c>
      <c r="H15" s="111">
        <v>497.64</v>
      </c>
      <c r="I15" s="111">
        <v>575</v>
      </c>
      <c r="J15" s="111">
        <f>F15*0.9</f>
        <v>1333.71</v>
      </c>
      <c r="K15" s="111">
        <f>F15*0.87</f>
        <v>1289.2530000000002</v>
      </c>
      <c r="L15" s="111">
        <f>F15*0.85</f>
        <v>1259.615</v>
      </c>
      <c r="M15" s="111">
        <f>F15*0.83</f>
        <v>1229.9770000000001</v>
      </c>
      <c r="N15" s="108">
        <f>F15*0.8</f>
        <v>1185.5200000000002</v>
      </c>
      <c r="O15" s="130">
        <f>F15*0.72</f>
        <v>1066.9680000000001</v>
      </c>
    </row>
    <row r="16" spans="1:15" ht="10.15" customHeight="1" x14ac:dyDescent="0.2">
      <c r="A16" s="101"/>
      <c r="B16" s="101"/>
      <c r="C16" s="106"/>
      <c r="D16" s="103"/>
      <c r="E16" s="104"/>
      <c r="F16" s="111">
        <v>0</v>
      </c>
      <c r="G16" s="111"/>
      <c r="H16" s="111"/>
      <c r="I16" s="111"/>
      <c r="J16" s="111"/>
      <c r="K16" s="111"/>
      <c r="L16" s="111"/>
      <c r="M16" s="111"/>
      <c r="N16" s="108"/>
      <c r="O16" s="131">
        <f t="shared" ref="O16:O83" si="6">F16*0.75</f>
        <v>0</v>
      </c>
    </row>
    <row r="17" spans="1:15" ht="10.15" customHeight="1" x14ac:dyDescent="0.2">
      <c r="A17" s="101"/>
      <c r="B17" s="101"/>
      <c r="C17" s="106" t="s">
        <v>24</v>
      </c>
      <c r="D17" s="103"/>
      <c r="E17" s="104"/>
      <c r="F17" s="111">
        <f>22.52*N1</f>
        <v>1576.3999999999999</v>
      </c>
      <c r="G17" s="111">
        <v>641</v>
      </c>
      <c r="H17" s="111">
        <v>523.16</v>
      </c>
      <c r="I17" s="111">
        <v>603</v>
      </c>
      <c r="J17" s="111">
        <f t="shared" ref="J17" si="7">F17*0.9</f>
        <v>1418.76</v>
      </c>
      <c r="K17" s="111">
        <f t="shared" ref="K17" si="8">F17*0.87</f>
        <v>1371.4679999999998</v>
      </c>
      <c r="L17" s="111">
        <f t="shared" ref="L17" si="9">F17*0.85</f>
        <v>1339.9399999999998</v>
      </c>
      <c r="M17" s="111">
        <f>F17*0.83</f>
        <v>1308.4119999999998</v>
      </c>
      <c r="N17" s="108">
        <f t="shared" ref="N17" si="10">F17*0.8</f>
        <v>1261.1199999999999</v>
      </c>
      <c r="O17" s="130">
        <f t="shared" ref="O17" si="11">F17*0.72</f>
        <v>1135.0079999999998</v>
      </c>
    </row>
    <row r="18" spans="1:15" ht="10.15" customHeight="1" x14ac:dyDescent="0.2">
      <c r="A18" s="101"/>
      <c r="B18" s="101"/>
      <c r="C18" s="106"/>
      <c r="D18" s="103"/>
      <c r="E18" s="104"/>
      <c r="F18" s="111">
        <v>0</v>
      </c>
      <c r="G18" s="111"/>
      <c r="H18" s="111"/>
      <c r="I18" s="111"/>
      <c r="J18" s="111"/>
      <c r="K18" s="111"/>
      <c r="L18" s="111"/>
      <c r="M18" s="111"/>
      <c r="N18" s="108"/>
      <c r="O18" s="131">
        <f t="shared" si="6"/>
        <v>0</v>
      </c>
    </row>
    <row r="19" spans="1:15" ht="10.15" customHeight="1" x14ac:dyDescent="0.2">
      <c r="A19" s="101"/>
      <c r="B19" s="101"/>
      <c r="C19" s="106" t="s">
        <v>25</v>
      </c>
      <c r="D19" s="103"/>
      <c r="E19" s="104"/>
      <c r="F19" s="111">
        <f>21.51*N1</f>
        <v>1505.7</v>
      </c>
      <c r="G19" s="52"/>
      <c r="H19" s="52"/>
      <c r="I19" s="52"/>
      <c r="J19" s="111">
        <f t="shared" ref="J19" si="12">F19*0.9</f>
        <v>1355.13</v>
      </c>
      <c r="K19" s="111">
        <f t="shared" ref="K19" si="13">F19*0.87</f>
        <v>1309.9590000000001</v>
      </c>
      <c r="L19" s="111">
        <f t="shared" ref="L19" si="14">F19*0.85</f>
        <v>1279.845</v>
      </c>
      <c r="M19" s="111">
        <f>F19*0.83</f>
        <v>1249.731</v>
      </c>
      <c r="N19" s="108">
        <f t="shared" ref="N19" si="15">F19*0.8</f>
        <v>1204.5600000000002</v>
      </c>
      <c r="O19" s="130">
        <f t="shared" ref="O19" si="16">F19*0.72</f>
        <v>1084.104</v>
      </c>
    </row>
    <row r="20" spans="1:15" ht="10.15" customHeight="1" x14ac:dyDescent="0.2">
      <c r="A20" s="101"/>
      <c r="B20" s="101"/>
      <c r="C20" s="106"/>
      <c r="D20" s="103"/>
      <c r="E20" s="104"/>
      <c r="F20" s="111">
        <v>0</v>
      </c>
      <c r="G20" s="52"/>
      <c r="H20" s="52"/>
      <c r="I20" s="52"/>
      <c r="J20" s="111"/>
      <c r="K20" s="111"/>
      <c r="L20" s="111"/>
      <c r="M20" s="111"/>
      <c r="N20" s="108"/>
      <c r="O20" s="131">
        <f t="shared" si="6"/>
        <v>0</v>
      </c>
    </row>
    <row r="21" spans="1:15" ht="10.15" customHeight="1" x14ac:dyDescent="0.2">
      <c r="A21" s="101"/>
      <c r="B21" s="101"/>
      <c r="C21" s="106" t="s">
        <v>22</v>
      </c>
      <c r="D21" s="103"/>
      <c r="E21" s="104"/>
      <c r="F21" s="111">
        <f>21.96*N1</f>
        <v>1537.2</v>
      </c>
      <c r="G21" s="52"/>
      <c r="H21" s="52"/>
      <c r="I21" s="52"/>
      <c r="J21" s="111">
        <f t="shared" ref="J21" si="17">F21*0.9</f>
        <v>1383.48</v>
      </c>
      <c r="K21" s="111">
        <f t="shared" ref="K21" si="18">F21*0.87</f>
        <v>1337.364</v>
      </c>
      <c r="L21" s="111">
        <f t="shared" ref="L21" si="19">F21*0.85</f>
        <v>1306.6199999999999</v>
      </c>
      <c r="M21" s="111">
        <f>F21*0.83</f>
        <v>1275.876</v>
      </c>
      <c r="N21" s="108">
        <f t="shared" ref="N21" si="20">F21*0.8</f>
        <v>1229.7600000000002</v>
      </c>
      <c r="O21" s="130">
        <f t="shared" ref="O21" si="21">F21*0.72</f>
        <v>1106.7840000000001</v>
      </c>
    </row>
    <row r="22" spans="1:15" ht="10.15" customHeight="1" x14ac:dyDescent="0.2">
      <c r="A22" s="101"/>
      <c r="B22" s="101"/>
      <c r="C22" s="106"/>
      <c r="D22" s="103"/>
      <c r="E22" s="104"/>
      <c r="F22" s="111">
        <v>0</v>
      </c>
      <c r="G22" s="52"/>
      <c r="H22" s="52"/>
      <c r="I22" s="52"/>
      <c r="J22" s="111"/>
      <c r="K22" s="111"/>
      <c r="L22" s="111"/>
      <c r="M22" s="111"/>
      <c r="N22" s="108"/>
      <c r="O22" s="131">
        <f t="shared" si="6"/>
        <v>0</v>
      </c>
    </row>
    <row r="23" spans="1:15" ht="10.15" customHeight="1" x14ac:dyDescent="0.2">
      <c r="A23" s="101"/>
      <c r="B23" s="101"/>
      <c r="C23" s="106" t="s">
        <v>185</v>
      </c>
      <c r="D23" s="112">
        <v>10</v>
      </c>
      <c r="E23" s="104">
        <v>5400</v>
      </c>
      <c r="F23" s="124">
        <v>1143</v>
      </c>
      <c r="G23" s="111">
        <v>641</v>
      </c>
      <c r="H23" s="111">
        <v>523.16</v>
      </c>
      <c r="I23" s="111">
        <v>603</v>
      </c>
      <c r="J23" s="111">
        <f t="shared" ref="J23" si="22">F23*0.9</f>
        <v>1028.7</v>
      </c>
      <c r="K23" s="111">
        <f t="shared" ref="K23" si="23">F23*0.87</f>
        <v>994.41</v>
      </c>
      <c r="L23" s="111">
        <f t="shared" ref="L23" si="24">F23*0.85</f>
        <v>971.55</v>
      </c>
      <c r="M23" s="111">
        <f>F23*0.83</f>
        <v>948.68999999999994</v>
      </c>
      <c r="N23" s="108">
        <f t="shared" ref="N23" si="25">F23*0.8</f>
        <v>914.40000000000009</v>
      </c>
      <c r="O23" s="130">
        <f t="shared" ref="O23" si="26">F23*0.72</f>
        <v>822.95999999999992</v>
      </c>
    </row>
    <row r="24" spans="1:15" ht="19.7" customHeight="1" x14ac:dyDescent="0.2">
      <c r="A24" s="101"/>
      <c r="B24" s="101"/>
      <c r="C24" s="106"/>
      <c r="D24" s="113"/>
      <c r="E24" s="104"/>
      <c r="F24" s="124">
        <v>0</v>
      </c>
      <c r="G24" s="111"/>
      <c r="H24" s="111"/>
      <c r="I24" s="111"/>
      <c r="J24" s="111"/>
      <c r="K24" s="111"/>
      <c r="L24" s="111"/>
      <c r="M24" s="111"/>
      <c r="N24" s="108"/>
      <c r="O24" s="131">
        <f t="shared" si="6"/>
        <v>0</v>
      </c>
    </row>
    <row r="25" spans="1:15" ht="42.75" customHeight="1" x14ac:dyDescent="0.2">
      <c r="A25" s="101"/>
      <c r="B25" s="101"/>
      <c r="C25" s="51" t="s">
        <v>188</v>
      </c>
      <c r="D25" s="114"/>
      <c r="E25" s="54">
        <v>5400</v>
      </c>
      <c r="F25" s="56">
        <v>1467</v>
      </c>
      <c r="G25" s="52"/>
      <c r="H25" s="52"/>
      <c r="I25" s="52"/>
      <c r="J25" s="52">
        <f>F25*0.9</f>
        <v>1320.3</v>
      </c>
      <c r="K25" s="52">
        <f>F25*0.87</f>
        <v>1276.29</v>
      </c>
      <c r="L25" s="52">
        <f>F25*0.85</f>
        <v>1246.95</v>
      </c>
      <c r="M25" s="52">
        <f>F25*0.83</f>
        <v>1217.6099999999999</v>
      </c>
      <c r="N25" s="58">
        <f>F25*0.8</f>
        <v>1173.6000000000001</v>
      </c>
      <c r="O25" s="70"/>
    </row>
    <row r="26" spans="1:15" s="2" customFormat="1" ht="10.15" customHeight="1" x14ac:dyDescent="0.2">
      <c r="A26" s="101"/>
      <c r="B26" s="101" t="s">
        <v>3</v>
      </c>
      <c r="C26" s="106" t="s">
        <v>23</v>
      </c>
      <c r="D26" s="103">
        <v>10</v>
      </c>
      <c r="E26" s="104">
        <v>5400</v>
      </c>
      <c r="F26" s="105">
        <f>19.64*N1</f>
        <v>1374.8</v>
      </c>
      <c r="G26" s="105">
        <v>627</v>
      </c>
      <c r="H26" s="105">
        <v>528</v>
      </c>
      <c r="I26" s="105">
        <v>591</v>
      </c>
      <c r="J26" s="105">
        <f t="shared" ref="J26" si="27">F26*0.9</f>
        <v>1237.32</v>
      </c>
      <c r="K26" s="105">
        <f t="shared" ref="K26" si="28">F26*0.87</f>
        <v>1196.076</v>
      </c>
      <c r="L26" s="105">
        <f>F26*0.85</f>
        <v>1168.58</v>
      </c>
      <c r="M26" s="105">
        <f>F26*0.83</f>
        <v>1141.0839999999998</v>
      </c>
      <c r="N26" s="108">
        <f>F26*0.8</f>
        <v>1099.8399999999999</v>
      </c>
      <c r="O26" s="130">
        <f t="shared" ref="O26" si="29">F26*0.72</f>
        <v>989.85599999999988</v>
      </c>
    </row>
    <row r="27" spans="1:15" s="2" customFormat="1" ht="10.15" customHeight="1" x14ac:dyDescent="0.2">
      <c r="A27" s="101"/>
      <c r="B27" s="101"/>
      <c r="C27" s="106"/>
      <c r="D27" s="103"/>
      <c r="E27" s="104"/>
      <c r="F27" s="105">
        <v>0</v>
      </c>
      <c r="G27" s="105"/>
      <c r="H27" s="105"/>
      <c r="I27" s="105"/>
      <c r="J27" s="105"/>
      <c r="K27" s="105"/>
      <c r="L27" s="105"/>
      <c r="M27" s="105"/>
      <c r="N27" s="108"/>
      <c r="O27" s="131">
        <f t="shared" si="6"/>
        <v>0</v>
      </c>
    </row>
    <row r="28" spans="1:15" s="2" customFormat="1" ht="10.15" customHeight="1" x14ac:dyDescent="0.2">
      <c r="A28" s="101"/>
      <c r="B28" s="101"/>
      <c r="C28" s="106" t="s">
        <v>24</v>
      </c>
      <c r="D28" s="103"/>
      <c r="E28" s="104"/>
      <c r="F28" s="105">
        <f>20.89*N1</f>
        <v>1462.3</v>
      </c>
      <c r="G28" s="105">
        <v>642</v>
      </c>
      <c r="H28" s="105">
        <v>555</v>
      </c>
      <c r="I28" s="105">
        <v>620</v>
      </c>
      <c r="J28" s="105">
        <f t="shared" ref="J28" si="30">F28*0.9</f>
        <v>1316.07</v>
      </c>
      <c r="K28" s="105">
        <f t="shared" ref="K28" si="31">F28*0.87</f>
        <v>1272.201</v>
      </c>
      <c r="L28" s="105">
        <f t="shared" ref="L28" si="32">F28*0.85</f>
        <v>1242.9549999999999</v>
      </c>
      <c r="M28" s="105">
        <f>F28*0.83</f>
        <v>1213.7089999999998</v>
      </c>
      <c r="N28" s="108">
        <f t="shared" ref="N28" si="33">F28*0.8</f>
        <v>1169.8399999999999</v>
      </c>
      <c r="O28" s="130">
        <f t="shared" ref="O28" si="34">F28*0.72</f>
        <v>1052.856</v>
      </c>
    </row>
    <row r="29" spans="1:15" s="2" customFormat="1" ht="10.15" customHeight="1" x14ac:dyDescent="0.2">
      <c r="A29" s="101"/>
      <c r="B29" s="101"/>
      <c r="C29" s="106"/>
      <c r="D29" s="103"/>
      <c r="E29" s="104"/>
      <c r="F29" s="105">
        <v>0</v>
      </c>
      <c r="G29" s="105"/>
      <c r="H29" s="105"/>
      <c r="I29" s="105"/>
      <c r="J29" s="105"/>
      <c r="K29" s="105"/>
      <c r="L29" s="105"/>
      <c r="M29" s="105"/>
      <c r="N29" s="108"/>
      <c r="O29" s="131">
        <f t="shared" si="6"/>
        <v>0</v>
      </c>
    </row>
    <row r="30" spans="1:15" s="2" customFormat="1" ht="10.15" customHeight="1" x14ac:dyDescent="0.2">
      <c r="A30" s="101"/>
      <c r="B30" s="101"/>
      <c r="C30" s="106" t="s">
        <v>25</v>
      </c>
      <c r="D30" s="103"/>
      <c r="E30" s="104"/>
      <c r="F30" s="105">
        <f>19.95*N1</f>
        <v>1396.5</v>
      </c>
      <c r="G30" s="50"/>
      <c r="H30" s="50"/>
      <c r="I30" s="50"/>
      <c r="J30" s="105">
        <f t="shared" ref="J30" si="35">F30*0.9</f>
        <v>1256.8500000000001</v>
      </c>
      <c r="K30" s="105">
        <f t="shared" ref="K30" si="36">F30*0.87</f>
        <v>1214.9549999999999</v>
      </c>
      <c r="L30" s="105">
        <f t="shared" ref="L30" si="37">F30*0.85</f>
        <v>1187.0249999999999</v>
      </c>
      <c r="M30" s="105">
        <f>F30*0.83</f>
        <v>1159.095</v>
      </c>
      <c r="N30" s="108">
        <f t="shared" ref="N30" si="38">F30*0.8</f>
        <v>1117.2</v>
      </c>
      <c r="O30" s="130">
        <f t="shared" ref="O30" si="39">F30*0.72</f>
        <v>1005.48</v>
      </c>
    </row>
    <row r="31" spans="1:15" s="2" customFormat="1" ht="10.15" customHeight="1" x14ac:dyDescent="0.2">
      <c r="A31" s="101"/>
      <c r="B31" s="101"/>
      <c r="C31" s="106"/>
      <c r="D31" s="103"/>
      <c r="E31" s="104"/>
      <c r="F31" s="105">
        <v>0</v>
      </c>
      <c r="G31" s="50"/>
      <c r="H31" s="50"/>
      <c r="I31" s="50"/>
      <c r="J31" s="105"/>
      <c r="K31" s="105"/>
      <c r="L31" s="105"/>
      <c r="M31" s="105"/>
      <c r="N31" s="108"/>
      <c r="O31" s="131">
        <f t="shared" si="6"/>
        <v>0</v>
      </c>
    </row>
    <row r="32" spans="1:15" s="2" customFormat="1" ht="10.15" customHeight="1" x14ac:dyDescent="0.2">
      <c r="A32" s="101"/>
      <c r="B32" s="101"/>
      <c r="C32" s="106" t="s">
        <v>22</v>
      </c>
      <c r="D32" s="103"/>
      <c r="E32" s="104"/>
      <c r="F32" s="105">
        <f>20.36*N1</f>
        <v>1425.2</v>
      </c>
      <c r="G32" s="50"/>
      <c r="H32" s="50"/>
      <c r="I32" s="50"/>
      <c r="J32" s="105">
        <f t="shared" ref="J32" si="40">F32*0.9</f>
        <v>1282.68</v>
      </c>
      <c r="K32" s="105">
        <f t="shared" ref="K32" si="41">F32*0.87</f>
        <v>1239.924</v>
      </c>
      <c r="L32" s="105">
        <f t="shared" ref="L32" si="42">F32*0.85</f>
        <v>1211.42</v>
      </c>
      <c r="M32" s="105">
        <f>F32*0.83</f>
        <v>1182.9159999999999</v>
      </c>
      <c r="N32" s="108">
        <f t="shared" ref="N32" si="43">F32*0.8</f>
        <v>1140.1600000000001</v>
      </c>
      <c r="O32" s="130">
        <f t="shared" ref="O32" si="44">F32*0.72</f>
        <v>1026.144</v>
      </c>
    </row>
    <row r="33" spans="1:15" s="2" customFormat="1" ht="10.15" customHeight="1" x14ac:dyDescent="0.2">
      <c r="A33" s="101"/>
      <c r="B33" s="101"/>
      <c r="C33" s="106"/>
      <c r="D33" s="103"/>
      <c r="E33" s="104"/>
      <c r="F33" s="105">
        <v>0</v>
      </c>
      <c r="G33" s="50"/>
      <c r="H33" s="50"/>
      <c r="I33" s="50"/>
      <c r="J33" s="105"/>
      <c r="K33" s="105"/>
      <c r="L33" s="105"/>
      <c r="M33" s="105"/>
      <c r="N33" s="108"/>
      <c r="O33" s="131">
        <f t="shared" si="6"/>
        <v>0</v>
      </c>
    </row>
    <row r="34" spans="1:15" s="2" customFormat="1" ht="10.15" customHeight="1" x14ac:dyDescent="0.2">
      <c r="A34" s="101"/>
      <c r="B34" s="101"/>
      <c r="C34" s="102" t="s">
        <v>185</v>
      </c>
      <c r="D34" s="112">
        <v>10</v>
      </c>
      <c r="E34" s="104">
        <v>5400</v>
      </c>
      <c r="F34" s="100">
        <v>1189</v>
      </c>
      <c r="G34" s="105">
        <v>642</v>
      </c>
      <c r="H34" s="105">
        <v>555</v>
      </c>
      <c r="I34" s="105">
        <v>620</v>
      </c>
      <c r="J34" s="105">
        <f t="shared" ref="J34" si="45">F34*0.9</f>
        <v>1070.1000000000001</v>
      </c>
      <c r="K34" s="105">
        <f t="shared" ref="K34" si="46">F34*0.87</f>
        <v>1034.43</v>
      </c>
      <c r="L34" s="105">
        <f t="shared" ref="L34:L102" si="47">F34*0.85</f>
        <v>1010.65</v>
      </c>
      <c r="M34" s="105">
        <f>F34*0.83</f>
        <v>986.87</v>
      </c>
      <c r="N34" s="108">
        <f t="shared" ref="N34" si="48">F34*0.8</f>
        <v>951.2</v>
      </c>
      <c r="O34" s="130">
        <f t="shared" ref="O34" si="49">F34*0.72</f>
        <v>856.07999999999993</v>
      </c>
    </row>
    <row r="35" spans="1:15" s="2" customFormat="1" ht="10.15" customHeight="1" x14ac:dyDescent="0.2">
      <c r="A35" s="101"/>
      <c r="B35" s="101"/>
      <c r="C35" s="107"/>
      <c r="D35" s="113"/>
      <c r="E35" s="104"/>
      <c r="F35" s="100">
        <v>0</v>
      </c>
      <c r="G35" s="105"/>
      <c r="H35" s="105"/>
      <c r="I35" s="105"/>
      <c r="J35" s="105"/>
      <c r="K35" s="105"/>
      <c r="L35" s="105"/>
      <c r="M35" s="105"/>
      <c r="N35" s="108"/>
      <c r="O35" s="131">
        <f t="shared" si="6"/>
        <v>0</v>
      </c>
    </row>
    <row r="36" spans="1:15" s="2" customFormat="1" ht="42" customHeight="1" x14ac:dyDescent="0.2">
      <c r="A36" s="101"/>
      <c r="B36" s="101"/>
      <c r="C36" s="46" t="s">
        <v>188</v>
      </c>
      <c r="D36" s="114"/>
      <c r="E36" s="54">
        <v>5400</v>
      </c>
      <c r="F36" s="57">
        <v>1514</v>
      </c>
      <c r="G36" s="50"/>
      <c r="H36" s="50"/>
      <c r="I36" s="50"/>
      <c r="J36" s="50">
        <f>F36*0.9</f>
        <v>1362.6000000000001</v>
      </c>
      <c r="K36" s="50">
        <f>F36*0.87</f>
        <v>1317.18</v>
      </c>
      <c r="L36" s="50">
        <f>F36*0.85</f>
        <v>1286.8999999999999</v>
      </c>
      <c r="M36" s="50">
        <f>F36*0.83</f>
        <v>1256.6199999999999</v>
      </c>
      <c r="N36" s="58">
        <f>F36*0.8</f>
        <v>1211.2</v>
      </c>
      <c r="O36" s="70"/>
    </row>
    <row r="37" spans="1:15" s="2" customFormat="1" ht="10.15" customHeight="1" x14ac:dyDescent="0.2">
      <c r="A37" s="101"/>
      <c r="B37" s="101" t="s">
        <v>13</v>
      </c>
      <c r="C37" s="106" t="s">
        <v>23</v>
      </c>
      <c r="D37" s="103">
        <v>6</v>
      </c>
      <c r="E37" s="104">
        <v>5900</v>
      </c>
      <c r="F37" s="105">
        <f>32.61*N1</f>
        <v>2282.6999999999998</v>
      </c>
      <c r="G37" s="105">
        <v>992</v>
      </c>
      <c r="H37" s="105">
        <v>778</v>
      </c>
      <c r="I37" s="105">
        <v>934</v>
      </c>
      <c r="J37" s="105">
        <f t="shared" ref="J37" si="50">F37*0.9</f>
        <v>2054.4299999999998</v>
      </c>
      <c r="K37" s="105">
        <f t="shared" ref="K37" si="51">F37*0.87</f>
        <v>1985.9489999999998</v>
      </c>
      <c r="L37" s="105">
        <f t="shared" si="47"/>
        <v>1940.2949999999998</v>
      </c>
      <c r="M37" s="105">
        <f>F37*0.83</f>
        <v>1894.6409999999998</v>
      </c>
      <c r="N37" s="108">
        <f>F37*0.8</f>
        <v>1826.1599999999999</v>
      </c>
      <c r="O37" s="130">
        <f t="shared" ref="O37" si="52">F37*0.72</f>
        <v>1643.5439999999999</v>
      </c>
    </row>
    <row r="38" spans="1:15" s="2" customFormat="1" ht="10.15" customHeight="1" x14ac:dyDescent="0.2">
      <c r="A38" s="101"/>
      <c r="B38" s="101"/>
      <c r="C38" s="106"/>
      <c r="D38" s="103"/>
      <c r="E38" s="104"/>
      <c r="F38" s="105">
        <v>0</v>
      </c>
      <c r="G38" s="105"/>
      <c r="H38" s="105"/>
      <c r="I38" s="105"/>
      <c r="J38" s="105"/>
      <c r="K38" s="105"/>
      <c r="L38" s="105"/>
      <c r="M38" s="105"/>
      <c r="N38" s="108"/>
      <c r="O38" s="131">
        <f t="shared" si="6"/>
        <v>0</v>
      </c>
    </row>
    <row r="39" spans="1:15" s="2" customFormat="1" ht="10.15" customHeight="1" x14ac:dyDescent="0.2">
      <c r="A39" s="101"/>
      <c r="B39" s="101"/>
      <c r="C39" s="106" t="s">
        <v>24</v>
      </c>
      <c r="D39" s="103"/>
      <c r="E39" s="104"/>
      <c r="F39" s="105">
        <f>34.69*N1</f>
        <v>2428.2999999999997</v>
      </c>
      <c r="G39" s="105">
        <v>1041</v>
      </c>
      <c r="H39" s="105">
        <v>818</v>
      </c>
      <c r="I39" s="105">
        <v>980</v>
      </c>
      <c r="J39" s="105">
        <f t="shared" ref="J39" si="53">F39*0.9</f>
        <v>2185.4699999999998</v>
      </c>
      <c r="K39" s="105">
        <f t="shared" ref="K39" si="54">F39*0.87</f>
        <v>2112.6209999999996</v>
      </c>
      <c r="L39" s="105">
        <f t="shared" si="47"/>
        <v>2064.0549999999998</v>
      </c>
      <c r="M39" s="105">
        <f>F39*0.83</f>
        <v>2015.4889999999996</v>
      </c>
      <c r="N39" s="108">
        <f t="shared" ref="N39" si="55">F39*0.8</f>
        <v>1942.6399999999999</v>
      </c>
      <c r="O39" s="130">
        <f>F39*0.72</f>
        <v>1748.3759999999997</v>
      </c>
    </row>
    <row r="40" spans="1:15" s="2" customFormat="1" ht="10.15" customHeight="1" x14ac:dyDescent="0.2">
      <c r="A40" s="101"/>
      <c r="B40" s="101"/>
      <c r="C40" s="106"/>
      <c r="D40" s="103"/>
      <c r="E40" s="104"/>
      <c r="F40" s="105">
        <v>0</v>
      </c>
      <c r="G40" s="105"/>
      <c r="H40" s="105"/>
      <c r="I40" s="105"/>
      <c r="J40" s="105"/>
      <c r="K40" s="105"/>
      <c r="L40" s="105"/>
      <c r="M40" s="105"/>
      <c r="N40" s="108"/>
      <c r="O40" s="131">
        <f t="shared" si="6"/>
        <v>0</v>
      </c>
    </row>
    <row r="41" spans="1:15" s="2" customFormat="1" ht="10.15" customHeight="1" x14ac:dyDescent="0.2">
      <c r="A41" s="101"/>
      <c r="B41" s="101"/>
      <c r="C41" s="106" t="s">
        <v>25</v>
      </c>
      <c r="D41" s="103"/>
      <c r="E41" s="104"/>
      <c r="F41" s="105">
        <f>33.13*N1</f>
        <v>2319.1000000000004</v>
      </c>
      <c r="G41" s="50"/>
      <c r="H41" s="50"/>
      <c r="I41" s="50"/>
      <c r="J41" s="105">
        <f t="shared" ref="J41" si="56">F41*0.9</f>
        <v>2087.1900000000005</v>
      </c>
      <c r="K41" s="105">
        <f t="shared" ref="K41" si="57">F41*0.87</f>
        <v>2017.6170000000004</v>
      </c>
      <c r="L41" s="105">
        <f t="shared" si="47"/>
        <v>1971.2350000000004</v>
      </c>
      <c r="M41" s="105">
        <f>F41*0.83</f>
        <v>1924.8530000000003</v>
      </c>
      <c r="N41" s="108">
        <f t="shared" ref="N41" si="58">F41*0.8</f>
        <v>1855.2800000000004</v>
      </c>
      <c r="O41" s="130">
        <f t="shared" ref="O41" si="59">F41*0.72</f>
        <v>1669.7520000000002</v>
      </c>
    </row>
    <row r="42" spans="1:15" s="2" customFormat="1" ht="10.15" customHeight="1" x14ac:dyDescent="0.2">
      <c r="A42" s="101"/>
      <c r="B42" s="101"/>
      <c r="C42" s="106"/>
      <c r="D42" s="103"/>
      <c r="E42" s="104"/>
      <c r="F42" s="105">
        <v>0</v>
      </c>
      <c r="G42" s="50"/>
      <c r="H42" s="50"/>
      <c r="I42" s="50"/>
      <c r="J42" s="105"/>
      <c r="K42" s="105"/>
      <c r="L42" s="105"/>
      <c r="M42" s="105"/>
      <c r="N42" s="108"/>
      <c r="O42" s="131">
        <f t="shared" si="6"/>
        <v>0</v>
      </c>
    </row>
    <row r="43" spans="1:15" s="2" customFormat="1" ht="10.15" customHeight="1" x14ac:dyDescent="0.2">
      <c r="A43" s="101"/>
      <c r="B43" s="101"/>
      <c r="C43" s="106" t="s">
        <v>22</v>
      </c>
      <c r="D43" s="103"/>
      <c r="E43" s="104"/>
      <c r="F43" s="105">
        <f>33.82*N1</f>
        <v>2367.4</v>
      </c>
      <c r="G43" s="50"/>
      <c r="H43" s="50"/>
      <c r="I43" s="50"/>
      <c r="J43" s="105">
        <f t="shared" ref="J43" si="60">F43*0.9</f>
        <v>2130.6600000000003</v>
      </c>
      <c r="K43" s="105">
        <f t="shared" ref="K43" si="61">F43*0.87</f>
        <v>2059.6379999999999</v>
      </c>
      <c r="L43" s="105">
        <f t="shared" si="47"/>
        <v>2012.29</v>
      </c>
      <c r="M43" s="105">
        <f>F43*0.83</f>
        <v>1964.942</v>
      </c>
      <c r="N43" s="108">
        <f t="shared" ref="N43" si="62">F43*0.8</f>
        <v>1893.92</v>
      </c>
      <c r="O43" s="130">
        <f t="shared" ref="O43" si="63">F43*0.72</f>
        <v>1704.528</v>
      </c>
    </row>
    <row r="44" spans="1:15" s="2" customFormat="1" ht="10.15" customHeight="1" x14ac:dyDescent="0.2">
      <c r="A44" s="101"/>
      <c r="B44" s="101"/>
      <c r="C44" s="106"/>
      <c r="D44" s="103"/>
      <c r="E44" s="104"/>
      <c r="F44" s="105">
        <v>0</v>
      </c>
      <c r="G44" s="50"/>
      <c r="H44" s="50"/>
      <c r="I44" s="50"/>
      <c r="J44" s="105"/>
      <c r="K44" s="105"/>
      <c r="L44" s="105"/>
      <c r="M44" s="105"/>
      <c r="N44" s="108"/>
      <c r="O44" s="131">
        <f t="shared" si="6"/>
        <v>0</v>
      </c>
    </row>
    <row r="45" spans="1:15" s="2" customFormat="1" ht="10.15" customHeight="1" x14ac:dyDescent="0.2">
      <c r="A45" s="101"/>
      <c r="B45" s="101"/>
      <c r="C45" s="102" t="s">
        <v>185</v>
      </c>
      <c r="D45" s="103">
        <v>6</v>
      </c>
      <c r="E45" s="104">
        <v>5900</v>
      </c>
      <c r="F45" s="100">
        <v>1662</v>
      </c>
      <c r="G45" s="105">
        <v>1041</v>
      </c>
      <c r="H45" s="105">
        <v>818</v>
      </c>
      <c r="I45" s="105">
        <v>980</v>
      </c>
      <c r="J45" s="105">
        <f t="shared" ref="J45" si="64">F45*0.9</f>
        <v>1495.8</v>
      </c>
      <c r="K45" s="105">
        <f t="shared" ref="K45" si="65">F45*0.87</f>
        <v>1445.94</v>
      </c>
      <c r="L45" s="105">
        <f t="shared" si="47"/>
        <v>1412.7</v>
      </c>
      <c r="M45" s="105">
        <f>F45*0.83</f>
        <v>1379.46</v>
      </c>
      <c r="N45" s="108">
        <f t="shared" ref="N45" si="66">F45*0.8</f>
        <v>1329.6000000000001</v>
      </c>
      <c r="O45" s="130">
        <f t="shared" ref="O45" si="67">F45*0.72</f>
        <v>1196.6399999999999</v>
      </c>
    </row>
    <row r="46" spans="1:15" s="2" customFormat="1" ht="10.15" customHeight="1" x14ac:dyDescent="0.2">
      <c r="A46" s="101"/>
      <c r="B46" s="101"/>
      <c r="C46" s="102"/>
      <c r="D46" s="103"/>
      <c r="E46" s="104"/>
      <c r="F46" s="100">
        <v>0</v>
      </c>
      <c r="G46" s="105"/>
      <c r="H46" s="105"/>
      <c r="I46" s="105"/>
      <c r="J46" s="105"/>
      <c r="K46" s="105"/>
      <c r="L46" s="105"/>
      <c r="M46" s="105"/>
      <c r="N46" s="108"/>
      <c r="O46" s="131">
        <f t="shared" si="6"/>
        <v>0</v>
      </c>
    </row>
    <row r="47" spans="1:15" s="2" customFormat="1" ht="43.5" customHeight="1" x14ac:dyDescent="0.2">
      <c r="A47" s="101"/>
      <c r="B47" s="101"/>
      <c r="C47" s="46" t="s">
        <v>188</v>
      </c>
      <c r="D47" s="53">
        <v>6</v>
      </c>
      <c r="E47" s="54">
        <v>5900</v>
      </c>
      <c r="F47" s="57">
        <v>1974</v>
      </c>
      <c r="G47" s="50"/>
      <c r="H47" s="50"/>
      <c r="I47" s="50"/>
      <c r="J47" s="50">
        <f>F47*0.9</f>
        <v>1776.6000000000001</v>
      </c>
      <c r="K47" s="50">
        <f>F47*0.87</f>
        <v>1717.3799999999999</v>
      </c>
      <c r="L47" s="50">
        <f>F47*0.85</f>
        <v>1677.8999999999999</v>
      </c>
      <c r="M47" s="50">
        <f>F47*0.83</f>
        <v>1638.4199999999998</v>
      </c>
      <c r="N47" s="58">
        <f>F47*0.8</f>
        <v>1579.2</v>
      </c>
      <c r="O47" s="70"/>
    </row>
    <row r="48" spans="1:15" s="2" customFormat="1" ht="10.15" customHeight="1" x14ac:dyDescent="0.2">
      <c r="A48" s="101"/>
      <c r="B48" s="101" t="s">
        <v>4</v>
      </c>
      <c r="C48" s="106" t="s">
        <v>23</v>
      </c>
      <c r="D48" s="103">
        <v>8</v>
      </c>
      <c r="E48" s="104">
        <v>5900</v>
      </c>
      <c r="F48" s="105">
        <f>23.33*N1</f>
        <v>1633.1</v>
      </c>
      <c r="G48" s="105">
        <v>658</v>
      </c>
      <c r="H48" s="105">
        <v>516</v>
      </c>
      <c r="I48" s="105">
        <v>619</v>
      </c>
      <c r="J48" s="105">
        <f t="shared" ref="J48" si="68">F48*0.9</f>
        <v>1469.79</v>
      </c>
      <c r="K48" s="105">
        <f t="shared" ref="K48" si="69">F48*0.87</f>
        <v>1420.797</v>
      </c>
      <c r="L48" s="105">
        <f t="shared" si="47"/>
        <v>1388.135</v>
      </c>
      <c r="M48" s="105">
        <f>F48*0.83</f>
        <v>1355.473</v>
      </c>
      <c r="N48" s="108">
        <f>F48*0.8</f>
        <v>1306.48</v>
      </c>
      <c r="O48" s="130">
        <f t="shared" ref="O48" si="70">F48*0.72</f>
        <v>1175.8319999999999</v>
      </c>
    </row>
    <row r="49" spans="1:15" s="2" customFormat="1" ht="10.15" customHeight="1" x14ac:dyDescent="0.2">
      <c r="A49" s="101"/>
      <c r="B49" s="101"/>
      <c r="C49" s="106"/>
      <c r="D49" s="103"/>
      <c r="E49" s="104"/>
      <c r="F49" s="105">
        <v>0</v>
      </c>
      <c r="G49" s="105"/>
      <c r="H49" s="105"/>
      <c r="I49" s="105"/>
      <c r="J49" s="105"/>
      <c r="K49" s="105"/>
      <c r="L49" s="105"/>
      <c r="M49" s="105"/>
      <c r="N49" s="108"/>
      <c r="O49" s="131">
        <f t="shared" si="6"/>
        <v>0</v>
      </c>
    </row>
    <row r="50" spans="1:15" s="2" customFormat="1" ht="10.15" customHeight="1" x14ac:dyDescent="0.2">
      <c r="A50" s="101"/>
      <c r="B50" s="101"/>
      <c r="C50" s="106" t="s">
        <v>24</v>
      </c>
      <c r="D50" s="103"/>
      <c r="E50" s="104"/>
      <c r="F50" s="105">
        <f>24.82*N1</f>
        <v>1737.4</v>
      </c>
      <c r="G50" s="105">
        <v>691</v>
      </c>
      <c r="H50" s="105">
        <v>542</v>
      </c>
      <c r="I50" s="105">
        <v>650</v>
      </c>
      <c r="J50" s="105">
        <f t="shared" ref="J50" si="71">F50*0.9</f>
        <v>1563.66</v>
      </c>
      <c r="K50" s="105">
        <f t="shared" ref="K50" si="72">F50*0.87</f>
        <v>1511.538</v>
      </c>
      <c r="L50" s="105">
        <f t="shared" si="47"/>
        <v>1476.79</v>
      </c>
      <c r="M50" s="105">
        <f>F50*0.83</f>
        <v>1442.0419999999999</v>
      </c>
      <c r="N50" s="108">
        <f t="shared" ref="N50" si="73">F50*0.8</f>
        <v>1389.92</v>
      </c>
      <c r="O50" s="130">
        <f t="shared" ref="O50" si="74">F50*0.72</f>
        <v>1250.9280000000001</v>
      </c>
    </row>
    <row r="51" spans="1:15" s="2" customFormat="1" ht="10.15" customHeight="1" x14ac:dyDescent="0.2">
      <c r="A51" s="101"/>
      <c r="B51" s="101"/>
      <c r="C51" s="106"/>
      <c r="D51" s="103"/>
      <c r="E51" s="104"/>
      <c r="F51" s="105">
        <v>0</v>
      </c>
      <c r="G51" s="105"/>
      <c r="H51" s="105"/>
      <c r="I51" s="105"/>
      <c r="J51" s="105"/>
      <c r="K51" s="105"/>
      <c r="L51" s="105"/>
      <c r="M51" s="105"/>
      <c r="N51" s="108"/>
      <c r="O51" s="131">
        <f t="shared" si="6"/>
        <v>0</v>
      </c>
    </row>
    <row r="52" spans="1:15" s="2" customFormat="1" ht="10.15" customHeight="1" x14ac:dyDescent="0.2">
      <c r="A52" s="101"/>
      <c r="B52" s="101"/>
      <c r="C52" s="106" t="s">
        <v>25</v>
      </c>
      <c r="D52" s="103"/>
      <c r="E52" s="104"/>
      <c r="F52" s="105">
        <f>23.7*N1</f>
        <v>1659</v>
      </c>
      <c r="G52" s="105">
        <v>691</v>
      </c>
      <c r="H52" s="105">
        <v>1081</v>
      </c>
      <c r="I52" s="105">
        <v>650</v>
      </c>
      <c r="J52" s="105">
        <f t="shared" ref="J52" si="75">F52*0.9</f>
        <v>1493.1000000000001</v>
      </c>
      <c r="K52" s="105">
        <f t="shared" ref="K52" si="76">F52*0.87</f>
        <v>1443.33</v>
      </c>
      <c r="L52" s="105">
        <f t="shared" si="47"/>
        <v>1410.1499999999999</v>
      </c>
      <c r="M52" s="105">
        <f>F52*0.83</f>
        <v>1376.97</v>
      </c>
      <c r="N52" s="108">
        <f t="shared" ref="N52" si="77">F52*0.8</f>
        <v>1327.2</v>
      </c>
      <c r="O52" s="130">
        <f t="shared" ref="O52" si="78">F52*0.72</f>
        <v>1194.48</v>
      </c>
    </row>
    <row r="53" spans="1:15" s="2" customFormat="1" ht="10.15" customHeight="1" x14ac:dyDescent="0.2">
      <c r="A53" s="101"/>
      <c r="B53" s="101"/>
      <c r="C53" s="106"/>
      <c r="D53" s="103"/>
      <c r="E53" s="104"/>
      <c r="F53" s="105">
        <v>0</v>
      </c>
      <c r="G53" s="105"/>
      <c r="H53" s="105"/>
      <c r="I53" s="105"/>
      <c r="J53" s="105"/>
      <c r="K53" s="105"/>
      <c r="L53" s="105"/>
      <c r="M53" s="105"/>
      <c r="N53" s="108"/>
      <c r="O53" s="131">
        <f t="shared" si="6"/>
        <v>0</v>
      </c>
    </row>
    <row r="54" spans="1:15" s="2" customFormat="1" ht="10.15" customHeight="1" x14ac:dyDescent="0.2">
      <c r="A54" s="101"/>
      <c r="B54" s="101"/>
      <c r="C54" s="106" t="s">
        <v>22</v>
      </c>
      <c r="D54" s="103"/>
      <c r="E54" s="104"/>
      <c r="F54" s="105">
        <f>24.2*N1</f>
        <v>1694</v>
      </c>
      <c r="G54" s="50"/>
      <c r="H54" s="50"/>
      <c r="I54" s="50"/>
      <c r="J54" s="105">
        <f t="shared" ref="J54" si="79">F54*0.9</f>
        <v>1524.6000000000001</v>
      </c>
      <c r="K54" s="105">
        <f t="shared" ref="K54" si="80">F54*0.87</f>
        <v>1473.78</v>
      </c>
      <c r="L54" s="105">
        <f t="shared" si="47"/>
        <v>1439.8999999999999</v>
      </c>
      <c r="M54" s="105">
        <f>F54*0.83</f>
        <v>1406.02</v>
      </c>
      <c r="N54" s="108">
        <f t="shared" ref="N54" si="81">F54*0.8</f>
        <v>1355.2</v>
      </c>
      <c r="O54" s="130">
        <f>F54*0.72</f>
        <v>1219.68</v>
      </c>
    </row>
    <row r="55" spans="1:15" s="2" customFormat="1" ht="10.15" customHeight="1" x14ac:dyDescent="0.2">
      <c r="A55" s="101"/>
      <c r="B55" s="101"/>
      <c r="C55" s="106"/>
      <c r="D55" s="103"/>
      <c r="E55" s="104"/>
      <c r="F55" s="105">
        <v>0</v>
      </c>
      <c r="G55" s="50"/>
      <c r="H55" s="50"/>
      <c r="I55" s="50"/>
      <c r="J55" s="105"/>
      <c r="K55" s="105"/>
      <c r="L55" s="105"/>
      <c r="M55" s="105"/>
      <c r="N55" s="108"/>
      <c r="O55" s="131">
        <f t="shared" si="6"/>
        <v>0</v>
      </c>
    </row>
    <row r="56" spans="1:15" s="2" customFormat="1" ht="10.15" customHeight="1" x14ac:dyDescent="0.2">
      <c r="A56" s="101"/>
      <c r="B56" s="101"/>
      <c r="C56" s="106" t="s">
        <v>185</v>
      </c>
      <c r="D56" s="103">
        <v>6</v>
      </c>
      <c r="E56" s="104">
        <v>5900</v>
      </c>
      <c r="F56" s="105">
        <v>1433</v>
      </c>
      <c r="G56" s="50"/>
      <c r="H56" s="50"/>
      <c r="I56" s="50"/>
      <c r="J56" s="105">
        <f t="shared" ref="J56" si="82">F56*0.9</f>
        <v>1289.7</v>
      </c>
      <c r="K56" s="105">
        <f t="shared" ref="K56" si="83">F56*0.87</f>
        <v>1246.71</v>
      </c>
      <c r="L56" s="105">
        <f t="shared" si="47"/>
        <v>1218.05</v>
      </c>
      <c r="M56" s="105">
        <f>F56*0.83</f>
        <v>1189.3899999999999</v>
      </c>
      <c r="N56" s="108">
        <f>F56*0.8</f>
        <v>1146.4000000000001</v>
      </c>
      <c r="O56" s="130">
        <f t="shared" ref="O56" si="84">F56*0.72</f>
        <v>1031.76</v>
      </c>
    </row>
    <row r="57" spans="1:15" s="2" customFormat="1" ht="23.45" customHeight="1" x14ac:dyDescent="0.2">
      <c r="A57" s="101"/>
      <c r="B57" s="101"/>
      <c r="C57" s="106"/>
      <c r="D57" s="103"/>
      <c r="E57" s="104"/>
      <c r="F57" s="105">
        <v>0</v>
      </c>
      <c r="G57" s="50"/>
      <c r="H57" s="50"/>
      <c r="I57" s="50"/>
      <c r="J57" s="105"/>
      <c r="K57" s="105"/>
      <c r="L57" s="105"/>
      <c r="M57" s="105"/>
      <c r="N57" s="108"/>
      <c r="O57" s="131">
        <f t="shared" si="6"/>
        <v>0</v>
      </c>
    </row>
    <row r="58" spans="1:15" s="2" customFormat="1" ht="10.15" customHeight="1" x14ac:dyDescent="0.2">
      <c r="A58" s="101"/>
      <c r="B58" s="101" t="s">
        <v>5</v>
      </c>
      <c r="C58" s="106" t="s">
        <v>23</v>
      </c>
      <c r="D58" s="103">
        <v>20</v>
      </c>
      <c r="E58" s="104">
        <v>5900</v>
      </c>
      <c r="F58" s="105">
        <f>12.28*N1</f>
        <v>859.59999999999991</v>
      </c>
      <c r="G58" s="105">
        <v>368</v>
      </c>
      <c r="H58" s="105">
        <v>289</v>
      </c>
      <c r="I58" s="105">
        <v>347</v>
      </c>
      <c r="J58" s="105">
        <f t="shared" ref="J58" si="85">F58*0.9</f>
        <v>773.64</v>
      </c>
      <c r="K58" s="105">
        <f t="shared" ref="K58" si="86">F58*0.87</f>
        <v>747.85199999999986</v>
      </c>
      <c r="L58" s="105">
        <f t="shared" si="47"/>
        <v>730.65999999999985</v>
      </c>
      <c r="M58" s="105">
        <f>F58*0.83</f>
        <v>713.46799999999985</v>
      </c>
      <c r="N58" s="108">
        <f t="shared" ref="N58" si="87">F58*0.8</f>
        <v>687.68</v>
      </c>
      <c r="O58" s="130">
        <f t="shared" ref="O58" si="88">F58*0.72</f>
        <v>618.91199999999992</v>
      </c>
    </row>
    <row r="59" spans="1:15" s="2" customFormat="1" ht="10.15" customHeight="1" x14ac:dyDescent="0.2">
      <c r="A59" s="101"/>
      <c r="B59" s="101"/>
      <c r="C59" s="106"/>
      <c r="D59" s="103"/>
      <c r="E59" s="104"/>
      <c r="F59" s="105">
        <v>0</v>
      </c>
      <c r="G59" s="105"/>
      <c r="H59" s="105"/>
      <c r="I59" s="105"/>
      <c r="J59" s="105"/>
      <c r="K59" s="105"/>
      <c r="L59" s="105"/>
      <c r="M59" s="105"/>
      <c r="N59" s="108"/>
      <c r="O59" s="131">
        <f t="shared" si="6"/>
        <v>0</v>
      </c>
    </row>
    <row r="60" spans="1:15" s="2" customFormat="1" ht="10.15" customHeight="1" x14ac:dyDescent="0.2">
      <c r="A60" s="101"/>
      <c r="B60" s="101"/>
      <c r="C60" s="106" t="s">
        <v>24</v>
      </c>
      <c r="D60" s="103"/>
      <c r="E60" s="104"/>
      <c r="F60" s="105">
        <f>13.01*N1</f>
        <v>910.69999999999993</v>
      </c>
      <c r="G60" s="105">
        <v>387</v>
      </c>
      <c r="H60" s="105">
        <v>304</v>
      </c>
      <c r="I60" s="105">
        <v>364</v>
      </c>
      <c r="J60" s="105">
        <f t="shared" ref="J60" si="89">F60*0.9</f>
        <v>819.63</v>
      </c>
      <c r="K60" s="105">
        <f t="shared" ref="K60" si="90">F60*0.87</f>
        <v>792.30899999999997</v>
      </c>
      <c r="L60" s="105">
        <f t="shared" si="47"/>
        <v>774.09499999999991</v>
      </c>
      <c r="M60" s="105">
        <f>F60*0.83</f>
        <v>755.88099999999986</v>
      </c>
      <c r="N60" s="108">
        <f t="shared" ref="N60" si="91">F60*0.8</f>
        <v>728.56</v>
      </c>
      <c r="O60" s="130">
        <f t="shared" ref="O60" si="92">F60*0.72</f>
        <v>655.70399999999995</v>
      </c>
    </row>
    <row r="61" spans="1:15" s="2" customFormat="1" ht="10.15" customHeight="1" x14ac:dyDescent="0.2">
      <c r="A61" s="101"/>
      <c r="B61" s="101"/>
      <c r="C61" s="106"/>
      <c r="D61" s="103"/>
      <c r="E61" s="104"/>
      <c r="F61" s="105">
        <v>0</v>
      </c>
      <c r="G61" s="105"/>
      <c r="H61" s="105"/>
      <c r="I61" s="105"/>
      <c r="J61" s="105"/>
      <c r="K61" s="105"/>
      <c r="L61" s="105"/>
      <c r="M61" s="105"/>
      <c r="N61" s="108"/>
      <c r="O61" s="131">
        <f t="shared" si="6"/>
        <v>0</v>
      </c>
    </row>
    <row r="62" spans="1:15" s="2" customFormat="1" ht="10.15" customHeight="1" x14ac:dyDescent="0.2">
      <c r="A62" s="101"/>
      <c r="B62" s="101"/>
      <c r="C62" s="106" t="s">
        <v>25</v>
      </c>
      <c r="D62" s="103"/>
      <c r="E62" s="104"/>
      <c r="F62" s="105">
        <f>12.46*N1</f>
        <v>872.2</v>
      </c>
      <c r="G62" s="105">
        <v>387</v>
      </c>
      <c r="H62" s="105">
        <v>304</v>
      </c>
      <c r="I62" s="105">
        <v>364</v>
      </c>
      <c r="J62" s="105">
        <f t="shared" ref="J62" si="93">F62*0.9</f>
        <v>784.98</v>
      </c>
      <c r="K62" s="105">
        <f t="shared" ref="K62" si="94">F62*0.87</f>
        <v>758.81400000000008</v>
      </c>
      <c r="L62" s="105">
        <f t="shared" si="47"/>
        <v>741.37</v>
      </c>
      <c r="M62" s="105">
        <f>F62*0.83</f>
        <v>723.92600000000004</v>
      </c>
      <c r="N62" s="108">
        <f>F62*0.8</f>
        <v>697.7600000000001</v>
      </c>
      <c r="O62" s="130">
        <f t="shared" ref="O62" si="95">F62*0.72</f>
        <v>627.98400000000004</v>
      </c>
    </row>
    <row r="63" spans="1:15" s="2" customFormat="1" ht="10.15" customHeight="1" x14ac:dyDescent="0.2">
      <c r="A63" s="101"/>
      <c r="B63" s="101"/>
      <c r="C63" s="106"/>
      <c r="D63" s="103"/>
      <c r="E63" s="104"/>
      <c r="F63" s="105">
        <v>0</v>
      </c>
      <c r="G63" s="105"/>
      <c r="H63" s="105"/>
      <c r="I63" s="105"/>
      <c r="J63" s="105"/>
      <c r="K63" s="105"/>
      <c r="L63" s="105"/>
      <c r="M63" s="105"/>
      <c r="N63" s="108"/>
      <c r="O63" s="131">
        <f t="shared" si="6"/>
        <v>0</v>
      </c>
    </row>
    <row r="64" spans="1:15" s="2" customFormat="1" ht="10.15" customHeight="1" x14ac:dyDescent="0.2">
      <c r="A64" s="101"/>
      <c r="B64" s="101"/>
      <c r="C64" s="106" t="s">
        <v>22</v>
      </c>
      <c r="D64" s="103"/>
      <c r="E64" s="104"/>
      <c r="F64" s="105">
        <f>12.7*N1</f>
        <v>889</v>
      </c>
      <c r="G64" s="50"/>
      <c r="H64" s="50"/>
      <c r="I64" s="50"/>
      <c r="J64" s="105">
        <f t="shared" ref="J64" si="96">F64*0.9</f>
        <v>800.1</v>
      </c>
      <c r="K64" s="105">
        <f t="shared" ref="K64" si="97">F64*0.87</f>
        <v>773.43</v>
      </c>
      <c r="L64" s="105">
        <f t="shared" si="47"/>
        <v>755.65</v>
      </c>
      <c r="M64" s="105">
        <f>F64*0.83</f>
        <v>737.87</v>
      </c>
      <c r="N64" s="108">
        <f t="shared" ref="N64" si="98">F64*0.8</f>
        <v>711.2</v>
      </c>
      <c r="O64" s="130">
        <f t="shared" ref="O64" si="99">F64*0.72</f>
        <v>640.07999999999993</v>
      </c>
    </row>
    <row r="65" spans="1:15" s="2" customFormat="1" ht="10.15" customHeight="1" x14ac:dyDescent="0.2">
      <c r="A65" s="101"/>
      <c r="B65" s="101"/>
      <c r="C65" s="106"/>
      <c r="D65" s="103"/>
      <c r="E65" s="104"/>
      <c r="F65" s="105">
        <v>0</v>
      </c>
      <c r="G65" s="50"/>
      <c r="H65" s="50"/>
      <c r="I65" s="50"/>
      <c r="J65" s="105"/>
      <c r="K65" s="105"/>
      <c r="L65" s="105"/>
      <c r="M65" s="105"/>
      <c r="N65" s="108"/>
      <c r="O65" s="131">
        <f t="shared" si="6"/>
        <v>0</v>
      </c>
    </row>
    <row r="66" spans="1:15" s="2" customFormat="1" ht="10.15" customHeight="1" x14ac:dyDescent="0.2">
      <c r="A66" s="101"/>
      <c r="B66" s="101"/>
      <c r="C66" s="106" t="s">
        <v>185</v>
      </c>
      <c r="D66" s="103">
        <v>10</v>
      </c>
      <c r="E66" s="104">
        <v>5900</v>
      </c>
      <c r="F66" s="105">
        <v>683</v>
      </c>
      <c r="G66" s="50"/>
      <c r="H66" s="50"/>
      <c r="I66" s="50"/>
      <c r="J66" s="105">
        <f t="shared" ref="J66" si="100">F66*0.9</f>
        <v>614.70000000000005</v>
      </c>
      <c r="K66" s="105">
        <f t="shared" ref="K66" si="101">F66*0.87</f>
        <v>594.21</v>
      </c>
      <c r="L66" s="105">
        <f t="shared" si="47"/>
        <v>580.54999999999995</v>
      </c>
      <c r="M66" s="105">
        <f>F66*0.83</f>
        <v>566.89</v>
      </c>
      <c r="N66" s="108">
        <f>F66*0.8</f>
        <v>546.4</v>
      </c>
      <c r="O66" s="130">
        <f t="shared" ref="O66" si="102">F66*0.72</f>
        <v>491.76</v>
      </c>
    </row>
    <row r="67" spans="1:15" s="2" customFormat="1" ht="21" customHeight="1" x14ac:dyDescent="0.2">
      <c r="A67" s="101"/>
      <c r="B67" s="101"/>
      <c r="C67" s="106"/>
      <c r="D67" s="103"/>
      <c r="E67" s="104"/>
      <c r="F67" s="105">
        <v>0</v>
      </c>
      <c r="G67" s="50"/>
      <c r="H67" s="50"/>
      <c r="I67" s="50"/>
      <c r="J67" s="105"/>
      <c r="K67" s="105"/>
      <c r="L67" s="105"/>
      <c r="M67" s="105"/>
      <c r="N67" s="108"/>
      <c r="O67" s="131">
        <f t="shared" si="6"/>
        <v>0</v>
      </c>
    </row>
    <row r="68" spans="1:15" s="2" customFormat="1" ht="45.2" customHeight="1" x14ac:dyDescent="0.2">
      <c r="A68" s="101"/>
      <c r="B68" s="101"/>
      <c r="C68" s="51" t="s">
        <v>188</v>
      </c>
      <c r="D68" s="53">
        <v>10</v>
      </c>
      <c r="E68" s="54">
        <v>5900</v>
      </c>
      <c r="F68" s="50">
        <v>866</v>
      </c>
      <c r="G68" s="50"/>
      <c r="H68" s="50"/>
      <c r="I68" s="50"/>
      <c r="J68" s="50">
        <f>F68*0.9</f>
        <v>779.4</v>
      </c>
      <c r="K68" s="50">
        <f>F68*0.87</f>
        <v>753.42</v>
      </c>
      <c r="L68" s="50">
        <f>F68*0.85</f>
        <v>736.1</v>
      </c>
      <c r="M68" s="50">
        <f>F68*0.83</f>
        <v>718.78</v>
      </c>
      <c r="N68" s="58">
        <f>F68*0.8</f>
        <v>692.80000000000007</v>
      </c>
      <c r="O68" s="70"/>
    </row>
    <row r="69" spans="1:15" s="2" customFormat="1" ht="10.15" customHeight="1" x14ac:dyDescent="0.2">
      <c r="A69" s="101"/>
      <c r="B69" s="101" t="s">
        <v>6</v>
      </c>
      <c r="C69" s="106" t="s">
        <v>23</v>
      </c>
      <c r="D69" s="103">
        <v>10</v>
      </c>
      <c r="E69" s="104">
        <v>5900</v>
      </c>
      <c r="F69" s="105">
        <f>21.89*N1</f>
        <v>1532.3</v>
      </c>
      <c r="G69" s="105">
        <v>688</v>
      </c>
      <c r="H69" s="105">
        <v>539</v>
      </c>
      <c r="I69" s="105">
        <v>647</v>
      </c>
      <c r="J69" s="105">
        <f t="shared" ref="J69" si="103">F69*0.9</f>
        <v>1379.07</v>
      </c>
      <c r="K69" s="105">
        <f t="shared" ref="K69" si="104">F69*0.87</f>
        <v>1333.1009999999999</v>
      </c>
      <c r="L69" s="105">
        <f t="shared" si="47"/>
        <v>1302.4549999999999</v>
      </c>
      <c r="M69" s="105">
        <f>F69*0.83</f>
        <v>1271.809</v>
      </c>
      <c r="N69" s="108">
        <f>F69*0.8</f>
        <v>1225.8399999999999</v>
      </c>
      <c r="O69" s="130">
        <f>F69*0.72</f>
        <v>1103.2559999999999</v>
      </c>
    </row>
    <row r="70" spans="1:15" s="2" customFormat="1" ht="10.15" customHeight="1" x14ac:dyDescent="0.2">
      <c r="A70" s="101"/>
      <c r="B70" s="101"/>
      <c r="C70" s="106"/>
      <c r="D70" s="103"/>
      <c r="E70" s="104"/>
      <c r="F70" s="105">
        <v>0</v>
      </c>
      <c r="G70" s="105"/>
      <c r="H70" s="105"/>
      <c r="I70" s="105"/>
      <c r="J70" s="105"/>
      <c r="K70" s="105"/>
      <c r="L70" s="105"/>
      <c r="M70" s="105"/>
      <c r="N70" s="108"/>
      <c r="O70" s="131">
        <f t="shared" si="6"/>
        <v>0</v>
      </c>
    </row>
    <row r="71" spans="1:15" s="2" customFormat="1" ht="10.15" customHeight="1" x14ac:dyDescent="0.2">
      <c r="A71" s="101"/>
      <c r="B71" s="101"/>
      <c r="C71" s="106" t="s">
        <v>24</v>
      </c>
      <c r="D71" s="103"/>
      <c r="E71" s="104"/>
      <c r="F71" s="105">
        <f>23.28*N1</f>
        <v>1629.6000000000001</v>
      </c>
      <c r="G71" s="105">
        <v>723</v>
      </c>
      <c r="H71" s="105">
        <v>567</v>
      </c>
      <c r="I71" s="105">
        <v>680</v>
      </c>
      <c r="J71" s="105">
        <f t="shared" ref="J71" si="105">F71*0.9</f>
        <v>1466.64</v>
      </c>
      <c r="K71" s="105">
        <f t="shared" ref="K71" si="106">F71*0.87</f>
        <v>1417.7520000000002</v>
      </c>
      <c r="L71" s="105">
        <f t="shared" si="47"/>
        <v>1385.16</v>
      </c>
      <c r="M71" s="105">
        <f>F71*0.83</f>
        <v>1352.568</v>
      </c>
      <c r="N71" s="108">
        <f t="shared" ref="N71" si="107">F71*0.8</f>
        <v>1303.6800000000003</v>
      </c>
      <c r="O71" s="130">
        <f t="shared" ref="O71" si="108">F71*0.72</f>
        <v>1173.3120000000001</v>
      </c>
    </row>
    <row r="72" spans="1:15" s="2" customFormat="1" ht="10.15" customHeight="1" x14ac:dyDescent="0.2">
      <c r="A72" s="101"/>
      <c r="B72" s="101"/>
      <c r="C72" s="106"/>
      <c r="D72" s="103"/>
      <c r="E72" s="104"/>
      <c r="F72" s="105">
        <v>0</v>
      </c>
      <c r="G72" s="105"/>
      <c r="H72" s="105"/>
      <c r="I72" s="105"/>
      <c r="J72" s="105"/>
      <c r="K72" s="105"/>
      <c r="L72" s="105"/>
      <c r="M72" s="105"/>
      <c r="N72" s="108"/>
      <c r="O72" s="131">
        <f t="shared" si="6"/>
        <v>0</v>
      </c>
    </row>
    <row r="73" spans="1:15" s="2" customFormat="1" ht="10.15" customHeight="1" x14ac:dyDescent="0.2">
      <c r="A73" s="101"/>
      <c r="B73" s="101"/>
      <c r="C73" s="106" t="s">
        <v>25</v>
      </c>
      <c r="D73" s="103"/>
      <c r="E73" s="104"/>
      <c r="F73" s="105">
        <f>22.23*N1</f>
        <v>1556.1000000000001</v>
      </c>
      <c r="G73" s="105">
        <v>723</v>
      </c>
      <c r="H73" s="105">
        <v>567</v>
      </c>
      <c r="I73" s="105">
        <v>680</v>
      </c>
      <c r="J73" s="105">
        <f t="shared" ref="J73" si="109">F73*0.9</f>
        <v>1400.4900000000002</v>
      </c>
      <c r="K73" s="105">
        <f t="shared" ref="K73" si="110">F73*0.87</f>
        <v>1353.807</v>
      </c>
      <c r="L73" s="105">
        <f t="shared" si="47"/>
        <v>1322.6850000000002</v>
      </c>
      <c r="M73" s="105">
        <f>F73*0.83</f>
        <v>1291.5630000000001</v>
      </c>
      <c r="N73" s="108">
        <f t="shared" ref="N73" si="111">F73*0.8</f>
        <v>1244.8800000000001</v>
      </c>
      <c r="O73" s="130">
        <f t="shared" ref="O73" si="112">F73*0.72</f>
        <v>1120.3920000000001</v>
      </c>
    </row>
    <row r="74" spans="1:15" s="2" customFormat="1" ht="10.15" customHeight="1" x14ac:dyDescent="0.2">
      <c r="A74" s="101"/>
      <c r="B74" s="101"/>
      <c r="C74" s="106"/>
      <c r="D74" s="103"/>
      <c r="E74" s="104"/>
      <c r="F74" s="105">
        <v>0</v>
      </c>
      <c r="G74" s="105"/>
      <c r="H74" s="105"/>
      <c r="I74" s="105"/>
      <c r="J74" s="105"/>
      <c r="K74" s="105"/>
      <c r="L74" s="105"/>
      <c r="M74" s="105"/>
      <c r="N74" s="108"/>
      <c r="O74" s="131">
        <f t="shared" si="6"/>
        <v>0</v>
      </c>
    </row>
    <row r="75" spans="1:15" s="2" customFormat="1" ht="10.15" customHeight="1" x14ac:dyDescent="0.2">
      <c r="A75" s="101"/>
      <c r="B75" s="101"/>
      <c r="C75" s="106" t="s">
        <v>22</v>
      </c>
      <c r="D75" s="103"/>
      <c r="E75" s="104"/>
      <c r="F75" s="105">
        <f>22.7*N1</f>
        <v>1589</v>
      </c>
      <c r="G75" s="50"/>
      <c r="H75" s="50"/>
      <c r="I75" s="50"/>
      <c r="J75" s="105">
        <f t="shared" ref="J75" si="113">F75*0.9</f>
        <v>1430.1000000000001</v>
      </c>
      <c r="K75" s="105">
        <f t="shared" ref="K75" si="114">F75*0.87</f>
        <v>1382.43</v>
      </c>
      <c r="L75" s="105">
        <f t="shared" si="47"/>
        <v>1350.6499999999999</v>
      </c>
      <c r="M75" s="105">
        <f>F75*0.83</f>
        <v>1318.87</v>
      </c>
      <c r="N75" s="108">
        <f t="shared" ref="N75" si="115">F75*0.8</f>
        <v>1271.2</v>
      </c>
      <c r="O75" s="130">
        <f t="shared" ref="O75" si="116">F75*0.72</f>
        <v>1144.08</v>
      </c>
    </row>
    <row r="76" spans="1:15" s="2" customFormat="1" ht="10.15" customHeight="1" x14ac:dyDescent="0.2">
      <c r="A76" s="101"/>
      <c r="B76" s="101"/>
      <c r="C76" s="106"/>
      <c r="D76" s="103"/>
      <c r="E76" s="104"/>
      <c r="F76" s="105">
        <v>0</v>
      </c>
      <c r="G76" s="50"/>
      <c r="H76" s="50"/>
      <c r="I76" s="50"/>
      <c r="J76" s="105"/>
      <c r="K76" s="105"/>
      <c r="L76" s="105"/>
      <c r="M76" s="105"/>
      <c r="N76" s="108"/>
      <c r="O76" s="131">
        <f t="shared" si="6"/>
        <v>0</v>
      </c>
    </row>
    <row r="77" spans="1:15" s="2" customFormat="1" ht="10.15" customHeight="1" x14ac:dyDescent="0.2">
      <c r="A77" s="101"/>
      <c r="B77" s="101"/>
      <c r="C77" s="106" t="s">
        <v>185</v>
      </c>
      <c r="D77" s="103">
        <v>10</v>
      </c>
      <c r="E77" s="104">
        <v>5900</v>
      </c>
      <c r="F77" s="105">
        <v>1241</v>
      </c>
      <c r="G77" s="50"/>
      <c r="H77" s="50"/>
      <c r="I77" s="50"/>
      <c r="J77" s="105">
        <f t="shared" ref="J77" si="117">F77*0.9</f>
        <v>1116.9000000000001</v>
      </c>
      <c r="K77" s="105">
        <f t="shared" ref="K77" si="118">F77*0.87</f>
        <v>1079.67</v>
      </c>
      <c r="L77" s="105">
        <f t="shared" si="47"/>
        <v>1054.8499999999999</v>
      </c>
      <c r="M77" s="105">
        <f>F77*0.83</f>
        <v>1030.03</v>
      </c>
      <c r="N77" s="108">
        <f t="shared" ref="N77" si="119">F77*0.8</f>
        <v>992.80000000000007</v>
      </c>
      <c r="O77" s="130">
        <f t="shared" ref="O77" si="120">F77*0.72</f>
        <v>893.52</v>
      </c>
    </row>
    <row r="78" spans="1:15" s="2" customFormat="1" ht="18.75" customHeight="1" x14ac:dyDescent="0.2">
      <c r="A78" s="101"/>
      <c r="B78" s="101"/>
      <c r="C78" s="106"/>
      <c r="D78" s="103"/>
      <c r="E78" s="104"/>
      <c r="F78" s="105">
        <v>0</v>
      </c>
      <c r="G78" s="50"/>
      <c r="H78" s="50"/>
      <c r="I78" s="50"/>
      <c r="J78" s="105"/>
      <c r="K78" s="105"/>
      <c r="L78" s="105"/>
      <c r="M78" s="105"/>
      <c r="N78" s="108"/>
      <c r="O78" s="131">
        <f t="shared" si="6"/>
        <v>0</v>
      </c>
    </row>
    <row r="79" spans="1:15" s="2" customFormat="1" ht="39" customHeight="1" x14ac:dyDescent="0.2">
      <c r="A79" s="101"/>
      <c r="B79" s="101"/>
      <c r="C79" s="51" t="s">
        <v>188</v>
      </c>
      <c r="D79" s="53">
        <v>10</v>
      </c>
      <c r="E79" s="54">
        <v>5900</v>
      </c>
      <c r="F79" s="50">
        <v>1587</v>
      </c>
      <c r="G79" s="50"/>
      <c r="H79" s="50"/>
      <c r="I79" s="50"/>
      <c r="J79" s="50">
        <f>F79*0.9</f>
        <v>1428.3</v>
      </c>
      <c r="K79" s="50">
        <f>F79*0.87</f>
        <v>1380.69</v>
      </c>
      <c r="L79" s="50">
        <f>F79*0.85</f>
        <v>1348.95</v>
      </c>
      <c r="M79" s="50">
        <f>F79*0.83</f>
        <v>1317.21</v>
      </c>
      <c r="N79" s="58">
        <f>F79*0.8</f>
        <v>1269.6000000000001</v>
      </c>
      <c r="O79" s="70"/>
    </row>
    <row r="80" spans="1:15" s="2" customFormat="1" ht="10.15" customHeight="1" x14ac:dyDescent="0.2">
      <c r="A80" s="101"/>
      <c r="B80" s="101" t="s">
        <v>7</v>
      </c>
      <c r="C80" s="106" t="s">
        <v>23</v>
      </c>
      <c r="D80" s="103">
        <v>16</v>
      </c>
      <c r="E80" s="103">
        <v>5900</v>
      </c>
      <c r="F80" s="105">
        <f>15.03*N1</f>
        <v>1052.0999999999999</v>
      </c>
      <c r="G80" s="105">
        <v>508</v>
      </c>
      <c r="H80" s="105">
        <v>399</v>
      </c>
      <c r="I80" s="105">
        <v>478</v>
      </c>
      <c r="J80" s="105">
        <f t="shared" ref="J80" si="121">F80*0.9</f>
        <v>946.89</v>
      </c>
      <c r="K80" s="105">
        <f t="shared" ref="K80" si="122">F80*0.87</f>
        <v>915.32699999999988</v>
      </c>
      <c r="L80" s="105">
        <f t="shared" si="47"/>
        <v>894.28499999999985</v>
      </c>
      <c r="M80" s="105">
        <f>F80*0.83</f>
        <v>873.24299999999994</v>
      </c>
      <c r="N80" s="108">
        <f>F80*0.8</f>
        <v>841.68</v>
      </c>
      <c r="O80" s="130">
        <f t="shared" ref="O80" si="123">F80*0.72</f>
        <v>757.51199999999994</v>
      </c>
    </row>
    <row r="81" spans="1:15" s="2" customFormat="1" ht="10.15" customHeight="1" x14ac:dyDescent="0.2">
      <c r="A81" s="101"/>
      <c r="B81" s="101"/>
      <c r="C81" s="106"/>
      <c r="D81" s="103"/>
      <c r="E81" s="103"/>
      <c r="F81" s="105">
        <v>0</v>
      </c>
      <c r="G81" s="105"/>
      <c r="H81" s="105"/>
      <c r="I81" s="105"/>
      <c r="J81" s="105"/>
      <c r="K81" s="105"/>
      <c r="L81" s="105"/>
      <c r="M81" s="105"/>
      <c r="N81" s="108"/>
      <c r="O81" s="131">
        <f t="shared" si="6"/>
        <v>0</v>
      </c>
    </row>
    <row r="82" spans="1:15" s="2" customFormat="1" ht="10.15" customHeight="1" x14ac:dyDescent="0.2">
      <c r="A82" s="101"/>
      <c r="B82" s="101"/>
      <c r="C82" s="106" t="s">
        <v>24</v>
      </c>
      <c r="D82" s="103"/>
      <c r="E82" s="103"/>
      <c r="F82" s="105">
        <f>15.93*N1</f>
        <v>1115.0999999999999</v>
      </c>
      <c r="G82" s="105">
        <v>533</v>
      </c>
      <c r="H82" s="105">
        <v>418</v>
      </c>
      <c r="I82" s="105">
        <v>502</v>
      </c>
      <c r="J82" s="105">
        <f t="shared" ref="J82" si="124">F82*0.9</f>
        <v>1003.5899999999999</v>
      </c>
      <c r="K82" s="105">
        <f t="shared" ref="K82" si="125">F82*0.87</f>
        <v>970.13699999999994</v>
      </c>
      <c r="L82" s="105">
        <f t="shared" si="47"/>
        <v>947.83499999999992</v>
      </c>
      <c r="M82" s="105">
        <f>F82*0.83</f>
        <v>925.5329999999999</v>
      </c>
      <c r="N82" s="108">
        <f t="shared" ref="N82" si="126">F82*0.8</f>
        <v>892.07999999999993</v>
      </c>
      <c r="O82" s="130">
        <f t="shared" ref="O82" si="127">F82*0.72</f>
        <v>802.87199999999996</v>
      </c>
    </row>
    <row r="83" spans="1:15" s="2" customFormat="1" ht="10.15" customHeight="1" x14ac:dyDescent="0.2">
      <c r="A83" s="101"/>
      <c r="B83" s="101"/>
      <c r="C83" s="106"/>
      <c r="D83" s="103"/>
      <c r="E83" s="103"/>
      <c r="F83" s="105">
        <v>0</v>
      </c>
      <c r="G83" s="105"/>
      <c r="H83" s="105"/>
      <c r="I83" s="105"/>
      <c r="J83" s="105"/>
      <c r="K83" s="105"/>
      <c r="L83" s="105"/>
      <c r="M83" s="105"/>
      <c r="N83" s="108"/>
      <c r="O83" s="131">
        <f t="shared" si="6"/>
        <v>0</v>
      </c>
    </row>
    <row r="84" spans="1:15" s="2" customFormat="1" ht="10.15" customHeight="1" x14ac:dyDescent="0.2">
      <c r="A84" s="101"/>
      <c r="B84" s="101"/>
      <c r="C84" s="106" t="s">
        <v>25</v>
      </c>
      <c r="D84" s="103"/>
      <c r="E84" s="103"/>
      <c r="F84" s="105">
        <f>15.25*N1</f>
        <v>1067.5</v>
      </c>
      <c r="G84" s="105">
        <v>533</v>
      </c>
      <c r="H84" s="105">
        <v>418</v>
      </c>
      <c r="I84" s="105">
        <v>502</v>
      </c>
      <c r="J84" s="105">
        <f t="shared" ref="J84" si="128">F84*0.9</f>
        <v>960.75</v>
      </c>
      <c r="K84" s="105">
        <f t="shared" ref="K84" si="129">F84*0.87</f>
        <v>928.72500000000002</v>
      </c>
      <c r="L84" s="105">
        <f t="shared" si="47"/>
        <v>907.375</v>
      </c>
      <c r="M84" s="105">
        <f>F84*0.83</f>
        <v>886.02499999999998</v>
      </c>
      <c r="N84" s="108">
        <f>F84*0.8</f>
        <v>854</v>
      </c>
      <c r="O84" s="130">
        <f t="shared" ref="O84" si="130">F84*0.72</f>
        <v>768.6</v>
      </c>
    </row>
    <row r="85" spans="1:15" s="2" customFormat="1" ht="10.15" customHeight="1" x14ac:dyDescent="0.2">
      <c r="A85" s="101"/>
      <c r="B85" s="101"/>
      <c r="C85" s="106"/>
      <c r="D85" s="103"/>
      <c r="E85" s="103"/>
      <c r="F85" s="105">
        <v>0</v>
      </c>
      <c r="G85" s="105"/>
      <c r="H85" s="105"/>
      <c r="I85" s="105"/>
      <c r="J85" s="105"/>
      <c r="K85" s="105"/>
      <c r="L85" s="105"/>
      <c r="M85" s="105"/>
      <c r="N85" s="108"/>
      <c r="O85" s="131">
        <f t="shared" ref="O85" si="131">F85*0.75</f>
        <v>0</v>
      </c>
    </row>
    <row r="86" spans="1:15" s="2" customFormat="1" ht="10.15" customHeight="1" x14ac:dyDescent="0.2">
      <c r="A86" s="101"/>
      <c r="B86" s="101"/>
      <c r="C86" s="106" t="s">
        <v>22</v>
      </c>
      <c r="D86" s="103"/>
      <c r="E86" s="103"/>
      <c r="F86" s="105">
        <f>15.55*N1</f>
        <v>1088.5</v>
      </c>
      <c r="G86" s="50"/>
      <c r="H86" s="50"/>
      <c r="I86" s="50"/>
      <c r="J86" s="105">
        <f t="shared" ref="J86" si="132">F86*0.9</f>
        <v>979.65</v>
      </c>
      <c r="K86" s="105">
        <f t="shared" ref="K86" si="133">F86*0.87</f>
        <v>946.995</v>
      </c>
      <c r="L86" s="105">
        <f t="shared" si="47"/>
        <v>925.22500000000002</v>
      </c>
      <c r="M86" s="105">
        <f>F86*0.83</f>
        <v>903.45499999999993</v>
      </c>
      <c r="N86" s="108">
        <f t="shared" ref="N86" si="134">F86*0.8</f>
        <v>870.80000000000007</v>
      </c>
      <c r="O86" s="130">
        <f>F86*0.72</f>
        <v>783.72</v>
      </c>
    </row>
    <row r="87" spans="1:15" s="2" customFormat="1" ht="10.15" customHeight="1" x14ac:dyDescent="0.2">
      <c r="A87" s="101"/>
      <c r="B87" s="101"/>
      <c r="C87" s="106"/>
      <c r="D87" s="103"/>
      <c r="E87" s="103"/>
      <c r="F87" s="105"/>
      <c r="G87" s="50"/>
      <c r="H87" s="50"/>
      <c r="I87" s="50"/>
      <c r="J87" s="105"/>
      <c r="K87" s="105"/>
      <c r="L87" s="105"/>
      <c r="M87" s="105"/>
      <c r="N87" s="108"/>
      <c r="O87" s="131">
        <f t="shared" ref="O87:O119" si="135">F87*0.75</f>
        <v>0</v>
      </c>
    </row>
    <row r="88" spans="1:15" s="2" customFormat="1" ht="10.15" customHeight="1" x14ac:dyDescent="0.2">
      <c r="A88" s="101"/>
      <c r="B88" s="101"/>
      <c r="C88" s="106" t="s">
        <v>185</v>
      </c>
      <c r="D88" s="103">
        <v>10</v>
      </c>
      <c r="E88" s="104">
        <v>5900</v>
      </c>
      <c r="F88" s="105">
        <v>811</v>
      </c>
      <c r="G88" s="50"/>
      <c r="H88" s="50"/>
      <c r="I88" s="50"/>
      <c r="J88" s="105">
        <f t="shared" ref="J88" si="136">F88*0.9</f>
        <v>729.9</v>
      </c>
      <c r="K88" s="105">
        <f t="shared" ref="K88" si="137">F88*0.87</f>
        <v>705.57</v>
      </c>
      <c r="L88" s="105">
        <f t="shared" si="47"/>
        <v>689.35</v>
      </c>
      <c r="M88" s="105">
        <f>F88*0.83</f>
        <v>673.13</v>
      </c>
      <c r="N88" s="108">
        <f t="shared" ref="N88" si="138">F88*0.8</f>
        <v>648.80000000000007</v>
      </c>
      <c r="O88" s="130">
        <f t="shared" ref="O88" si="139">F88*0.72</f>
        <v>583.91999999999996</v>
      </c>
    </row>
    <row r="89" spans="1:15" s="2" customFormat="1" ht="22.5" customHeight="1" x14ac:dyDescent="0.2">
      <c r="A89" s="101"/>
      <c r="B89" s="101"/>
      <c r="C89" s="106"/>
      <c r="D89" s="103"/>
      <c r="E89" s="104"/>
      <c r="F89" s="105">
        <v>0</v>
      </c>
      <c r="G89" s="50"/>
      <c r="H89" s="50"/>
      <c r="I89" s="50"/>
      <c r="J89" s="105"/>
      <c r="K89" s="105"/>
      <c r="L89" s="105"/>
      <c r="M89" s="105"/>
      <c r="N89" s="108"/>
      <c r="O89" s="131">
        <f t="shared" si="135"/>
        <v>0</v>
      </c>
    </row>
    <row r="90" spans="1:15" s="2" customFormat="1" ht="45.75" customHeight="1" x14ac:dyDescent="0.2">
      <c r="A90" s="101"/>
      <c r="B90" s="101"/>
      <c r="C90" s="51" t="s">
        <v>188</v>
      </c>
      <c r="D90" s="53">
        <v>10</v>
      </c>
      <c r="E90" s="54">
        <v>5900</v>
      </c>
      <c r="F90" s="50">
        <v>1020</v>
      </c>
      <c r="G90" s="50"/>
      <c r="H90" s="50"/>
      <c r="I90" s="50"/>
      <c r="J90" s="50">
        <f>F90*0.9</f>
        <v>918</v>
      </c>
      <c r="K90" s="50">
        <f>F90*0.87</f>
        <v>887.4</v>
      </c>
      <c r="L90" s="50">
        <f>F90*0.85</f>
        <v>867</v>
      </c>
      <c r="M90" s="50">
        <f>F90*0.83</f>
        <v>846.59999999999991</v>
      </c>
      <c r="N90" s="58">
        <f>F90*0.8</f>
        <v>816</v>
      </c>
      <c r="O90" s="70"/>
    </row>
    <row r="91" spans="1:15" s="2" customFormat="1" ht="10.15" customHeight="1" x14ac:dyDescent="0.2">
      <c r="A91" s="101"/>
      <c r="B91" s="101" t="s">
        <v>12</v>
      </c>
      <c r="C91" s="106" t="s">
        <v>23</v>
      </c>
      <c r="D91" s="103">
        <v>20</v>
      </c>
      <c r="E91" s="104">
        <v>5900</v>
      </c>
      <c r="F91" s="105">
        <f>12.94*N1</f>
        <v>905.8</v>
      </c>
      <c r="G91" s="105">
        <v>259</v>
      </c>
      <c r="H91" s="105">
        <v>204</v>
      </c>
      <c r="I91" s="105">
        <v>244</v>
      </c>
      <c r="J91" s="105">
        <f t="shared" ref="J91" si="140">F91*0.9</f>
        <v>815.22</v>
      </c>
      <c r="K91" s="105">
        <f t="shared" ref="K91" si="141">F91*0.87</f>
        <v>788.04599999999994</v>
      </c>
      <c r="L91" s="105">
        <f t="shared" si="47"/>
        <v>769.93</v>
      </c>
      <c r="M91" s="105">
        <f>F91*0.83</f>
        <v>751.81399999999996</v>
      </c>
      <c r="N91" s="108">
        <f>F91*0.8</f>
        <v>724.64</v>
      </c>
      <c r="O91" s="130">
        <f t="shared" ref="O91" si="142">F91*0.72</f>
        <v>652.17599999999993</v>
      </c>
    </row>
    <row r="92" spans="1:15" s="2" customFormat="1" ht="10.15" customHeight="1" x14ac:dyDescent="0.2">
      <c r="A92" s="101"/>
      <c r="B92" s="101"/>
      <c r="C92" s="106"/>
      <c r="D92" s="103"/>
      <c r="E92" s="104"/>
      <c r="F92" s="105">
        <v>0</v>
      </c>
      <c r="G92" s="105"/>
      <c r="H92" s="105"/>
      <c r="I92" s="105"/>
      <c r="J92" s="105"/>
      <c r="K92" s="105"/>
      <c r="L92" s="105"/>
      <c r="M92" s="105"/>
      <c r="N92" s="108"/>
      <c r="O92" s="131">
        <f t="shared" si="135"/>
        <v>0</v>
      </c>
    </row>
    <row r="93" spans="1:15" s="2" customFormat="1" ht="10.15" customHeight="1" x14ac:dyDescent="0.2">
      <c r="A93" s="101"/>
      <c r="B93" s="101"/>
      <c r="C93" s="106" t="s">
        <v>24</v>
      </c>
      <c r="D93" s="103"/>
      <c r="E93" s="104"/>
      <c r="F93" s="105">
        <f>13.71*N1</f>
        <v>959.7</v>
      </c>
      <c r="G93" s="105">
        <v>272</v>
      </c>
      <c r="H93" s="105">
        <v>214</v>
      </c>
      <c r="I93" s="105">
        <v>256</v>
      </c>
      <c r="J93" s="105">
        <f t="shared" ref="J93" si="143">F93*0.9</f>
        <v>863.73</v>
      </c>
      <c r="K93" s="105">
        <f t="shared" ref="K93" si="144">F93*0.87</f>
        <v>834.93900000000008</v>
      </c>
      <c r="L93" s="105">
        <f t="shared" si="47"/>
        <v>815.745</v>
      </c>
      <c r="M93" s="105">
        <f>F93*0.83</f>
        <v>796.55100000000004</v>
      </c>
      <c r="N93" s="108">
        <f t="shared" ref="N93" si="145">F93*0.8</f>
        <v>767.7600000000001</v>
      </c>
      <c r="O93" s="130">
        <f t="shared" ref="O93" si="146">F93*0.72</f>
        <v>690.98400000000004</v>
      </c>
    </row>
    <row r="94" spans="1:15" s="2" customFormat="1" ht="10.15" customHeight="1" x14ac:dyDescent="0.2">
      <c r="A94" s="101"/>
      <c r="B94" s="101"/>
      <c r="C94" s="106"/>
      <c r="D94" s="103"/>
      <c r="E94" s="104"/>
      <c r="F94" s="105">
        <v>0</v>
      </c>
      <c r="G94" s="105"/>
      <c r="H94" s="105"/>
      <c r="I94" s="105"/>
      <c r="J94" s="105"/>
      <c r="K94" s="105"/>
      <c r="L94" s="105"/>
      <c r="M94" s="105"/>
      <c r="N94" s="108"/>
      <c r="O94" s="131">
        <f t="shared" si="135"/>
        <v>0</v>
      </c>
    </row>
    <row r="95" spans="1:15" s="2" customFormat="1" ht="10.15" customHeight="1" x14ac:dyDescent="0.2">
      <c r="A95" s="101"/>
      <c r="B95" s="101"/>
      <c r="C95" s="106" t="s">
        <v>25</v>
      </c>
      <c r="D95" s="103"/>
      <c r="E95" s="104"/>
      <c r="F95" s="105">
        <f>13.13*N1</f>
        <v>919.1</v>
      </c>
      <c r="G95" s="105">
        <v>272</v>
      </c>
      <c r="H95" s="105">
        <v>214</v>
      </c>
      <c r="I95" s="105">
        <v>256</v>
      </c>
      <c r="J95" s="105">
        <f t="shared" ref="J95" si="147">F95*0.9</f>
        <v>827.19</v>
      </c>
      <c r="K95" s="105">
        <f t="shared" ref="K95" si="148">F95*0.87</f>
        <v>799.61699999999996</v>
      </c>
      <c r="L95" s="105">
        <f t="shared" si="47"/>
        <v>781.23500000000001</v>
      </c>
      <c r="M95" s="105">
        <f>F95*0.83</f>
        <v>762.85299999999995</v>
      </c>
      <c r="N95" s="108">
        <f t="shared" ref="N95" si="149">F95*0.8</f>
        <v>735.28000000000009</v>
      </c>
      <c r="O95" s="130">
        <f t="shared" ref="O95:O99" si="150">F95*0.72</f>
        <v>661.75199999999995</v>
      </c>
    </row>
    <row r="96" spans="1:15" s="2" customFormat="1" ht="10.15" customHeight="1" x14ac:dyDescent="0.2">
      <c r="A96" s="101"/>
      <c r="B96" s="101"/>
      <c r="C96" s="106"/>
      <c r="D96" s="103"/>
      <c r="E96" s="104"/>
      <c r="F96" s="105">
        <v>0</v>
      </c>
      <c r="G96" s="105"/>
      <c r="H96" s="105"/>
      <c r="I96" s="105"/>
      <c r="J96" s="105"/>
      <c r="K96" s="105"/>
      <c r="L96" s="105"/>
      <c r="M96" s="105"/>
      <c r="N96" s="108"/>
      <c r="O96" s="131">
        <f t="shared" si="135"/>
        <v>0</v>
      </c>
    </row>
    <row r="97" spans="1:15" s="2" customFormat="1" ht="10.15" customHeight="1" x14ac:dyDescent="0.2">
      <c r="A97" s="101"/>
      <c r="B97" s="101"/>
      <c r="C97" s="106" t="s">
        <v>22</v>
      </c>
      <c r="D97" s="103"/>
      <c r="E97" s="104"/>
      <c r="F97" s="105">
        <f>13.39*N1</f>
        <v>937.30000000000007</v>
      </c>
      <c r="G97" s="50"/>
      <c r="H97" s="50"/>
      <c r="I97" s="50"/>
      <c r="J97" s="105">
        <f t="shared" ref="J97" si="151">F97*0.9</f>
        <v>843.57</v>
      </c>
      <c r="K97" s="105">
        <f t="shared" ref="K97" si="152">F97*0.87</f>
        <v>815.45100000000002</v>
      </c>
      <c r="L97" s="105">
        <f t="shared" si="47"/>
        <v>796.70500000000004</v>
      </c>
      <c r="M97" s="105">
        <f>F97*0.83</f>
        <v>777.95900000000006</v>
      </c>
      <c r="N97" s="108">
        <f>F97*0.8</f>
        <v>749.84000000000015</v>
      </c>
      <c r="O97" s="130">
        <f t="shared" si="150"/>
        <v>674.85599999999999</v>
      </c>
    </row>
    <row r="98" spans="1:15" s="2" customFormat="1" ht="10.15" customHeight="1" x14ac:dyDescent="0.2">
      <c r="A98" s="101"/>
      <c r="B98" s="101"/>
      <c r="C98" s="106"/>
      <c r="D98" s="103"/>
      <c r="E98" s="104"/>
      <c r="F98" s="105">
        <v>0</v>
      </c>
      <c r="G98" s="50"/>
      <c r="H98" s="50"/>
      <c r="I98" s="50"/>
      <c r="J98" s="105"/>
      <c r="K98" s="105"/>
      <c r="L98" s="105"/>
      <c r="M98" s="105"/>
      <c r="N98" s="108"/>
      <c r="O98" s="131">
        <f t="shared" si="135"/>
        <v>0</v>
      </c>
    </row>
    <row r="99" spans="1:15" s="2" customFormat="1" ht="10.15" customHeight="1" x14ac:dyDescent="0.2">
      <c r="A99" s="101"/>
      <c r="B99" s="101"/>
      <c r="C99" s="106" t="s">
        <v>185</v>
      </c>
      <c r="D99" s="103">
        <v>10</v>
      </c>
      <c r="E99" s="104">
        <v>5900</v>
      </c>
      <c r="F99" s="105">
        <v>710</v>
      </c>
      <c r="G99" s="50"/>
      <c r="H99" s="50"/>
      <c r="I99" s="50"/>
      <c r="J99" s="105">
        <f t="shared" ref="J99" si="153">F99*0.9</f>
        <v>639</v>
      </c>
      <c r="K99" s="105">
        <f t="shared" ref="K99" si="154">F99*0.87</f>
        <v>617.70000000000005</v>
      </c>
      <c r="L99" s="105">
        <f t="shared" si="47"/>
        <v>603.5</v>
      </c>
      <c r="M99" s="105">
        <f>F99*0.83</f>
        <v>589.29999999999995</v>
      </c>
      <c r="N99" s="108">
        <f t="shared" ref="N99" si="155">F99*0.8</f>
        <v>568</v>
      </c>
      <c r="O99" s="130">
        <f t="shared" si="150"/>
        <v>511.2</v>
      </c>
    </row>
    <row r="100" spans="1:15" s="2" customFormat="1" ht="21.75" customHeight="1" x14ac:dyDescent="0.2">
      <c r="A100" s="101"/>
      <c r="B100" s="101"/>
      <c r="C100" s="106"/>
      <c r="D100" s="103"/>
      <c r="E100" s="104"/>
      <c r="F100" s="105">
        <v>0</v>
      </c>
      <c r="G100" s="50"/>
      <c r="H100" s="50"/>
      <c r="I100" s="50"/>
      <c r="J100" s="105"/>
      <c r="K100" s="105"/>
      <c r="L100" s="105"/>
      <c r="M100" s="105"/>
      <c r="N100" s="108"/>
      <c r="O100" s="131">
        <f t="shared" si="135"/>
        <v>0</v>
      </c>
    </row>
    <row r="101" spans="1:15" s="2" customFormat="1" ht="41.45" customHeight="1" x14ac:dyDescent="0.2">
      <c r="A101" s="101"/>
      <c r="B101" s="101"/>
      <c r="C101" s="51" t="s">
        <v>188</v>
      </c>
      <c r="D101" s="53">
        <v>10</v>
      </c>
      <c r="E101" s="54">
        <v>5400</v>
      </c>
      <c r="F101" s="50">
        <v>894</v>
      </c>
      <c r="G101" s="50"/>
      <c r="H101" s="50"/>
      <c r="I101" s="50"/>
      <c r="J101" s="50">
        <f>F101*0.9</f>
        <v>804.6</v>
      </c>
      <c r="K101" s="50">
        <f>F101*0.87</f>
        <v>777.78</v>
      </c>
      <c r="L101" s="50">
        <f>F101*0.85</f>
        <v>759.9</v>
      </c>
      <c r="M101" s="50">
        <f>F101*0.83</f>
        <v>742.02</v>
      </c>
      <c r="N101" s="58">
        <f>F101*0.8</f>
        <v>715.2</v>
      </c>
      <c r="O101" s="70"/>
    </row>
    <row r="102" spans="1:15" s="2" customFormat="1" ht="10.15" customHeight="1" x14ac:dyDescent="0.2">
      <c r="A102" s="101"/>
      <c r="B102" s="101" t="s">
        <v>8</v>
      </c>
      <c r="C102" s="106" t="s">
        <v>23</v>
      </c>
      <c r="D102" s="103">
        <v>20</v>
      </c>
      <c r="E102" s="104">
        <v>5900</v>
      </c>
      <c r="F102" s="105">
        <f>7.28*N1</f>
        <v>509.6</v>
      </c>
      <c r="G102" s="105">
        <v>175</v>
      </c>
      <c r="H102" s="105">
        <v>136</v>
      </c>
      <c r="I102" s="105">
        <v>164</v>
      </c>
      <c r="J102" s="105">
        <f t="shared" ref="J102" si="156">F102*0.9</f>
        <v>458.64000000000004</v>
      </c>
      <c r="K102" s="105">
        <f t="shared" ref="K102" si="157">F102*0.87</f>
        <v>443.35200000000003</v>
      </c>
      <c r="L102" s="105">
        <f t="shared" si="47"/>
        <v>433.16</v>
      </c>
      <c r="M102" s="105">
        <f>F102*0.83</f>
        <v>422.96800000000002</v>
      </c>
      <c r="N102" s="108">
        <f t="shared" ref="N102" si="158">F102*0.8</f>
        <v>407.68000000000006</v>
      </c>
      <c r="O102" s="130">
        <f t="shared" ref="O102:O118" si="159">F102*0.72</f>
        <v>366.91199999999998</v>
      </c>
    </row>
    <row r="103" spans="1:15" s="2" customFormat="1" ht="10.15" customHeight="1" x14ac:dyDescent="0.2">
      <c r="A103" s="101"/>
      <c r="B103" s="101"/>
      <c r="C103" s="106"/>
      <c r="D103" s="103"/>
      <c r="E103" s="104"/>
      <c r="F103" s="105">
        <v>0</v>
      </c>
      <c r="G103" s="105"/>
      <c r="H103" s="105"/>
      <c r="I103" s="105"/>
      <c r="J103" s="105"/>
      <c r="K103" s="105"/>
      <c r="L103" s="105"/>
      <c r="M103" s="105"/>
      <c r="N103" s="108"/>
      <c r="O103" s="131">
        <f t="shared" si="135"/>
        <v>0</v>
      </c>
    </row>
    <row r="104" spans="1:15" s="2" customFormat="1" ht="10.15" customHeight="1" x14ac:dyDescent="0.2">
      <c r="A104" s="101"/>
      <c r="B104" s="101"/>
      <c r="C104" s="106" t="s">
        <v>24</v>
      </c>
      <c r="D104" s="103"/>
      <c r="E104" s="104"/>
      <c r="F104" s="105">
        <f>7.72*N1</f>
        <v>540.4</v>
      </c>
      <c r="G104" s="105">
        <v>183</v>
      </c>
      <c r="H104" s="105">
        <v>142</v>
      </c>
      <c r="I104" s="105">
        <v>172</v>
      </c>
      <c r="J104" s="105">
        <f t="shared" ref="J104" si="160">F104*0.9</f>
        <v>486.36</v>
      </c>
      <c r="K104" s="105">
        <f t="shared" ref="K104" si="161">F104*0.87</f>
        <v>470.14799999999997</v>
      </c>
      <c r="L104" s="105">
        <f t="shared" ref="L104:L135" si="162">F104*0.85</f>
        <v>459.34</v>
      </c>
      <c r="M104" s="105">
        <f>F104*0.83</f>
        <v>448.53199999999998</v>
      </c>
      <c r="N104" s="108">
        <f t="shared" ref="N104" si="163">F104*0.8</f>
        <v>432.32</v>
      </c>
      <c r="O104" s="130">
        <f t="shared" si="159"/>
        <v>389.08799999999997</v>
      </c>
    </row>
    <row r="105" spans="1:15" s="2" customFormat="1" ht="10.15" customHeight="1" x14ac:dyDescent="0.2">
      <c r="A105" s="101"/>
      <c r="B105" s="101"/>
      <c r="C105" s="106"/>
      <c r="D105" s="103"/>
      <c r="E105" s="104"/>
      <c r="F105" s="105">
        <v>0</v>
      </c>
      <c r="G105" s="105"/>
      <c r="H105" s="105"/>
      <c r="I105" s="105"/>
      <c r="J105" s="105"/>
      <c r="K105" s="105"/>
      <c r="L105" s="105"/>
      <c r="M105" s="105"/>
      <c r="N105" s="108"/>
      <c r="O105" s="131">
        <f t="shared" si="135"/>
        <v>0</v>
      </c>
    </row>
    <row r="106" spans="1:15" s="2" customFormat="1" ht="10.15" customHeight="1" x14ac:dyDescent="0.2">
      <c r="A106" s="101"/>
      <c r="B106" s="101"/>
      <c r="C106" s="106" t="s">
        <v>25</v>
      </c>
      <c r="D106" s="103"/>
      <c r="E106" s="104"/>
      <c r="F106" s="105">
        <f>7.39*N1</f>
        <v>517.29999999999995</v>
      </c>
      <c r="G106" s="105"/>
      <c r="H106" s="105">
        <v>300</v>
      </c>
      <c r="I106" s="105"/>
      <c r="J106" s="105">
        <f t="shared" ref="J106" si="164">F106*0.9</f>
        <v>465.57</v>
      </c>
      <c r="K106" s="105">
        <f t="shared" ref="K106" si="165">F106*0.87</f>
        <v>450.05099999999993</v>
      </c>
      <c r="L106" s="105">
        <f t="shared" si="162"/>
        <v>439.70499999999993</v>
      </c>
      <c r="M106" s="105">
        <f>F106*0.83</f>
        <v>429.35899999999992</v>
      </c>
      <c r="N106" s="108">
        <f>F106*0.8</f>
        <v>413.84</v>
      </c>
      <c r="O106" s="130">
        <f t="shared" si="159"/>
        <v>372.45599999999996</v>
      </c>
    </row>
    <row r="107" spans="1:15" s="2" customFormat="1" ht="10.15" customHeight="1" x14ac:dyDescent="0.2">
      <c r="A107" s="101"/>
      <c r="B107" s="101"/>
      <c r="C107" s="106"/>
      <c r="D107" s="103"/>
      <c r="E107" s="104"/>
      <c r="F107" s="105">
        <v>0</v>
      </c>
      <c r="G107" s="105"/>
      <c r="H107" s="105"/>
      <c r="I107" s="105"/>
      <c r="J107" s="105"/>
      <c r="K107" s="105"/>
      <c r="L107" s="105"/>
      <c r="M107" s="105"/>
      <c r="N107" s="108"/>
      <c r="O107" s="131">
        <f t="shared" si="135"/>
        <v>0</v>
      </c>
    </row>
    <row r="108" spans="1:15" s="2" customFormat="1" ht="10.15" customHeight="1" x14ac:dyDescent="0.2">
      <c r="A108" s="101"/>
      <c r="B108" s="101"/>
      <c r="C108" s="106" t="s">
        <v>22</v>
      </c>
      <c r="D108" s="103"/>
      <c r="E108" s="104"/>
      <c r="F108" s="105">
        <f>7.54*N1</f>
        <v>527.79999999999995</v>
      </c>
      <c r="G108" s="50"/>
      <c r="H108" s="50"/>
      <c r="I108" s="50"/>
      <c r="J108" s="105">
        <f t="shared" ref="J108" si="166">F108*0.9</f>
        <v>475.02</v>
      </c>
      <c r="K108" s="105">
        <f t="shared" ref="K108" si="167">F108*0.87</f>
        <v>459.18599999999998</v>
      </c>
      <c r="L108" s="105">
        <f t="shared" si="162"/>
        <v>448.62999999999994</v>
      </c>
      <c r="M108" s="105">
        <f>F108*0.83</f>
        <v>438.07399999999996</v>
      </c>
      <c r="N108" s="108">
        <f t="shared" ref="N108" si="168">F108*0.8</f>
        <v>422.24</v>
      </c>
      <c r="O108" s="130">
        <f t="shared" si="159"/>
        <v>380.01599999999996</v>
      </c>
    </row>
    <row r="109" spans="1:15" s="2" customFormat="1" ht="10.15" customHeight="1" x14ac:dyDescent="0.2">
      <c r="A109" s="101"/>
      <c r="B109" s="101"/>
      <c r="C109" s="106"/>
      <c r="D109" s="103"/>
      <c r="E109" s="104"/>
      <c r="F109" s="105">
        <v>0</v>
      </c>
      <c r="G109" s="50"/>
      <c r="H109" s="50"/>
      <c r="I109" s="50"/>
      <c r="J109" s="105"/>
      <c r="K109" s="105"/>
      <c r="L109" s="105"/>
      <c r="M109" s="105"/>
      <c r="N109" s="108"/>
      <c r="O109" s="131">
        <f t="shared" si="135"/>
        <v>0</v>
      </c>
    </row>
    <row r="110" spans="1:15" s="2" customFormat="1" ht="10.15" customHeight="1" x14ac:dyDescent="0.2">
      <c r="A110" s="101"/>
      <c r="B110" s="101"/>
      <c r="C110" s="106" t="s">
        <v>185</v>
      </c>
      <c r="D110" s="103">
        <v>10</v>
      </c>
      <c r="E110" s="104">
        <v>5900</v>
      </c>
      <c r="F110" s="105">
        <v>427</v>
      </c>
      <c r="G110" s="50"/>
      <c r="H110" s="50"/>
      <c r="I110" s="50"/>
      <c r="J110" s="105">
        <f t="shared" ref="J110" si="169">F110*0.9</f>
        <v>384.3</v>
      </c>
      <c r="K110" s="105">
        <f t="shared" ref="K110" si="170">F110*0.87</f>
        <v>371.49</v>
      </c>
      <c r="L110" s="105">
        <f t="shared" si="162"/>
        <v>362.95</v>
      </c>
      <c r="M110" s="105">
        <f>F110*0.83</f>
        <v>354.40999999999997</v>
      </c>
      <c r="N110" s="108">
        <f t="shared" ref="N110" si="171">F110*0.8</f>
        <v>341.6</v>
      </c>
      <c r="O110" s="130">
        <f t="shared" si="159"/>
        <v>307.44</v>
      </c>
    </row>
    <row r="111" spans="1:15" s="2" customFormat="1" ht="33" customHeight="1" x14ac:dyDescent="0.2">
      <c r="A111" s="101"/>
      <c r="B111" s="101"/>
      <c r="C111" s="106"/>
      <c r="D111" s="103"/>
      <c r="E111" s="104"/>
      <c r="F111" s="105">
        <v>0</v>
      </c>
      <c r="G111" s="50"/>
      <c r="H111" s="50"/>
      <c r="I111" s="50"/>
      <c r="J111" s="105"/>
      <c r="K111" s="105"/>
      <c r="L111" s="105"/>
      <c r="M111" s="105"/>
      <c r="N111" s="108"/>
      <c r="O111" s="131">
        <f t="shared" si="135"/>
        <v>0</v>
      </c>
    </row>
    <row r="112" spans="1:15" s="2" customFormat="1" ht="10.15" customHeight="1" x14ac:dyDescent="0.2">
      <c r="A112" s="101"/>
      <c r="B112" s="101" t="s">
        <v>9</v>
      </c>
      <c r="C112" s="106" t="s">
        <v>23</v>
      </c>
      <c r="D112" s="103">
        <v>12</v>
      </c>
      <c r="E112" s="104">
        <v>5900</v>
      </c>
      <c r="F112" s="105">
        <f>14.11*N1</f>
        <v>987.69999999999993</v>
      </c>
      <c r="G112" s="105">
        <v>413</v>
      </c>
      <c r="H112" s="105">
        <v>324</v>
      </c>
      <c r="I112" s="105">
        <v>389</v>
      </c>
      <c r="J112" s="105">
        <f t="shared" ref="J112" si="172">F112*0.9</f>
        <v>888.93</v>
      </c>
      <c r="K112" s="105">
        <f t="shared" ref="K112" si="173">F112*0.87</f>
        <v>859.29899999999998</v>
      </c>
      <c r="L112" s="105">
        <f t="shared" si="162"/>
        <v>839.54499999999996</v>
      </c>
      <c r="M112" s="105">
        <f>F112*0.83</f>
        <v>819.79099999999994</v>
      </c>
      <c r="N112" s="108">
        <f t="shared" ref="N112" si="174">F112*0.8</f>
        <v>790.16</v>
      </c>
      <c r="O112" s="130">
        <f t="shared" si="159"/>
        <v>711.14399999999989</v>
      </c>
    </row>
    <row r="113" spans="1:15" s="2" customFormat="1" ht="10.15" customHeight="1" x14ac:dyDescent="0.2">
      <c r="A113" s="101"/>
      <c r="B113" s="101"/>
      <c r="C113" s="106"/>
      <c r="D113" s="103"/>
      <c r="E113" s="104"/>
      <c r="F113" s="105">
        <v>0</v>
      </c>
      <c r="G113" s="105"/>
      <c r="H113" s="105"/>
      <c r="I113" s="105"/>
      <c r="J113" s="105"/>
      <c r="K113" s="105"/>
      <c r="L113" s="105"/>
      <c r="M113" s="105"/>
      <c r="N113" s="108"/>
      <c r="O113" s="131">
        <f t="shared" si="135"/>
        <v>0</v>
      </c>
    </row>
    <row r="114" spans="1:15" s="2" customFormat="1" ht="10.15" customHeight="1" x14ac:dyDescent="0.2">
      <c r="A114" s="101"/>
      <c r="B114" s="101"/>
      <c r="C114" s="106" t="s">
        <v>24</v>
      </c>
      <c r="D114" s="103"/>
      <c r="E114" s="104"/>
      <c r="F114" s="105">
        <f>14.95*N1</f>
        <v>1046.5</v>
      </c>
      <c r="G114" s="105">
        <v>434</v>
      </c>
      <c r="H114" s="105">
        <v>341</v>
      </c>
      <c r="I114" s="105">
        <v>408</v>
      </c>
      <c r="J114" s="105">
        <f t="shared" ref="J114" si="175">F114*0.9</f>
        <v>941.85</v>
      </c>
      <c r="K114" s="105">
        <f t="shared" ref="K114" si="176">F114*0.87</f>
        <v>910.45500000000004</v>
      </c>
      <c r="L114" s="105">
        <f t="shared" si="162"/>
        <v>889.52499999999998</v>
      </c>
      <c r="M114" s="105">
        <f>F114*0.83</f>
        <v>868.59499999999991</v>
      </c>
      <c r="N114" s="108">
        <f>F114*0.8</f>
        <v>837.2</v>
      </c>
      <c r="O114" s="130">
        <f t="shared" si="159"/>
        <v>753.48</v>
      </c>
    </row>
    <row r="115" spans="1:15" s="2" customFormat="1" ht="10.15" customHeight="1" x14ac:dyDescent="0.2">
      <c r="A115" s="101"/>
      <c r="B115" s="101"/>
      <c r="C115" s="106"/>
      <c r="D115" s="103"/>
      <c r="E115" s="104"/>
      <c r="F115" s="105">
        <v>0</v>
      </c>
      <c r="G115" s="105"/>
      <c r="H115" s="105"/>
      <c r="I115" s="105"/>
      <c r="J115" s="105"/>
      <c r="K115" s="105"/>
      <c r="L115" s="105"/>
      <c r="M115" s="105"/>
      <c r="N115" s="108"/>
      <c r="O115" s="131">
        <f t="shared" si="135"/>
        <v>0</v>
      </c>
    </row>
    <row r="116" spans="1:15" s="2" customFormat="1" ht="10.15" customHeight="1" x14ac:dyDescent="0.2">
      <c r="A116" s="101"/>
      <c r="B116" s="101"/>
      <c r="C116" s="106" t="s">
        <v>25</v>
      </c>
      <c r="D116" s="103"/>
      <c r="E116" s="104"/>
      <c r="F116" s="105">
        <f>14.32*N1</f>
        <v>1002.4</v>
      </c>
      <c r="G116" s="50"/>
      <c r="H116" s="50"/>
      <c r="I116" s="50"/>
      <c r="J116" s="105">
        <f t="shared" ref="J116" si="177">F116*0.9</f>
        <v>902.16</v>
      </c>
      <c r="K116" s="105">
        <f t="shared" ref="K116" si="178">F116*0.87</f>
        <v>872.08799999999997</v>
      </c>
      <c r="L116" s="105">
        <f t="shared" si="162"/>
        <v>852.04</v>
      </c>
      <c r="M116" s="105">
        <f>F116*0.83</f>
        <v>831.99199999999996</v>
      </c>
      <c r="N116" s="108">
        <f>F116*0.8</f>
        <v>801.92000000000007</v>
      </c>
      <c r="O116" s="130">
        <f t="shared" si="159"/>
        <v>721.72799999999995</v>
      </c>
    </row>
    <row r="117" spans="1:15" s="2" customFormat="1" ht="10.15" customHeight="1" x14ac:dyDescent="0.2">
      <c r="A117" s="101"/>
      <c r="B117" s="101"/>
      <c r="C117" s="106"/>
      <c r="D117" s="103"/>
      <c r="E117" s="104"/>
      <c r="F117" s="105">
        <v>0</v>
      </c>
      <c r="G117" s="50"/>
      <c r="H117" s="50"/>
      <c r="I117" s="50"/>
      <c r="J117" s="105"/>
      <c r="K117" s="105"/>
      <c r="L117" s="105"/>
      <c r="M117" s="105"/>
      <c r="N117" s="108"/>
      <c r="O117" s="131">
        <f t="shared" si="135"/>
        <v>0</v>
      </c>
    </row>
    <row r="118" spans="1:15" s="2" customFormat="1" ht="10.15" customHeight="1" x14ac:dyDescent="0.2">
      <c r="A118" s="101"/>
      <c r="B118" s="101"/>
      <c r="C118" s="102" t="s">
        <v>22</v>
      </c>
      <c r="D118" s="103"/>
      <c r="E118" s="104"/>
      <c r="F118" s="105">
        <f>14.6*N1</f>
        <v>1022</v>
      </c>
      <c r="G118" s="105">
        <v>434</v>
      </c>
      <c r="H118" s="105">
        <v>341</v>
      </c>
      <c r="I118" s="105">
        <v>408</v>
      </c>
      <c r="J118" s="105">
        <f t="shared" ref="J118" si="179">F118*0.9</f>
        <v>919.80000000000007</v>
      </c>
      <c r="K118" s="105">
        <f t="shared" ref="K118" si="180">F118*0.87</f>
        <v>889.14</v>
      </c>
      <c r="L118" s="105">
        <f t="shared" si="162"/>
        <v>868.69999999999993</v>
      </c>
      <c r="M118" s="105">
        <f>F118*0.83</f>
        <v>848.26</v>
      </c>
      <c r="N118" s="108">
        <f>F118*0.8</f>
        <v>817.6</v>
      </c>
      <c r="O118" s="130">
        <f t="shared" si="159"/>
        <v>735.83999999999992</v>
      </c>
    </row>
    <row r="119" spans="1:15" s="2" customFormat="1" ht="10.15" customHeight="1" x14ac:dyDescent="0.2">
      <c r="A119" s="101"/>
      <c r="B119" s="101"/>
      <c r="C119" s="107"/>
      <c r="D119" s="103"/>
      <c r="E119" s="104"/>
      <c r="F119" s="105">
        <v>0</v>
      </c>
      <c r="G119" s="105"/>
      <c r="H119" s="105"/>
      <c r="I119" s="105"/>
      <c r="J119" s="105"/>
      <c r="K119" s="105"/>
      <c r="L119" s="105"/>
      <c r="M119" s="105"/>
      <c r="N119" s="108"/>
      <c r="O119" s="131">
        <f t="shared" si="135"/>
        <v>0</v>
      </c>
    </row>
    <row r="120" spans="1:15" s="2" customFormat="1" ht="30.75" customHeight="1" x14ac:dyDescent="0.2">
      <c r="A120" s="101"/>
      <c r="B120" s="101"/>
      <c r="C120" s="55" t="s">
        <v>185</v>
      </c>
      <c r="D120" s="53">
        <v>8</v>
      </c>
      <c r="E120" s="54">
        <v>5900</v>
      </c>
      <c r="F120" s="50">
        <v>820</v>
      </c>
      <c r="G120" s="50"/>
      <c r="H120" s="50"/>
      <c r="I120" s="50"/>
      <c r="J120" s="50">
        <f>F120*0.9</f>
        <v>738</v>
      </c>
      <c r="K120" s="50">
        <f>F120*0.87</f>
        <v>713.4</v>
      </c>
      <c r="L120" s="50">
        <f>F120*0.85</f>
        <v>697</v>
      </c>
      <c r="M120" s="50">
        <f>F120*0.83</f>
        <v>680.6</v>
      </c>
      <c r="N120" s="57">
        <f>F120*0.8</f>
        <v>656</v>
      </c>
      <c r="O120" s="71">
        <f>F120*0.72</f>
        <v>590.4</v>
      </c>
    </row>
    <row r="121" spans="1:15" s="2" customFormat="1" ht="10.15" customHeight="1" x14ac:dyDescent="0.2">
      <c r="A121" s="101"/>
      <c r="B121" s="101" t="s">
        <v>10</v>
      </c>
      <c r="C121" s="106" t="s">
        <v>23</v>
      </c>
      <c r="D121" s="103">
        <v>20</v>
      </c>
      <c r="E121" s="104">
        <v>5900</v>
      </c>
      <c r="F121" s="105">
        <f>10.73*N1</f>
        <v>751.1</v>
      </c>
      <c r="G121" s="105">
        <v>242</v>
      </c>
      <c r="H121" s="105">
        <v>190</v>
      </c>
      <c r="I121" s="105">
        <v>228</v>
      </c>
      <c r="J121" s="105">
        <f t="shared" ref="J121" si="181">F121*0.9</f>
        <v>675.99</v>
      </c>
      <c r="K121" s="105">
        <f t="shared" ref="K121" si="182">F121*0.87</f>
        <v>653.45699999999999</v>
      </c>
      <c r="L121" s="105">
        <f t="shared" si="162"/>
        <v>638.43500000000006</v>
      </c>
      <c r="M121" s="105">
        <f>F121*0.83</f>
        <v>623.41300000000001</v>
      </c>
      <c r="N121" s="100">
        <f>F121*0.8</f>
        <v>600.88</v>
      </c>
      <c r="O121" s="132">
        <f t="shared" ref="O121:O125" si="183">F121*0.72</f>
        <v>540.79200000000003</v>
      </c>
    </row>
    <row r="122" spans="1:15" s="2" customFormat="1" ht="10.15" customHeight="1" x14ac:dyDescent="0.2">
      <c r="A122" s="101"/>
      <c r="B122" s="101"/>
      <c r="C122" s="106"/>
      <c r="D122" s="103"/>
      <c r="E122" s="104"/>
      <c r="F122" s="105">
        <v>0</v>
      </c>
      <c r="G122" s="105"/>
      <c r="H122" s="105"/>
      <c r="I122" s="105"/>
      <c r="J122" s="105"/>
      <c r="K122" s="105"/>
      <c r="L122" s="105"/>
      <c r="M122" s="105"/>
      <c r="N122" s="100"/>
      <c r="O122" s="133"/>
    </row>
    <row r="123" spans="1:15" s="2" customFormat="1" ht="10.15" customHeight="1" x14ac:dyDescent="0.2">
      <c r="A123" s="101"/>
      <c r="B123" s="101"/>
      <c r="C123" s="106" t="s">
        <v>24</v>
      </c>
      <c r="D123" s="103"/>
      <c r="E123" s="104"/>
      <c r="F123" s="105">
        <f>11.37*N1</f>
        <v>795.9</v>
      </c>
      <c r="G123" s="105">
        <v>254</v>
      </c>
      <c r="H123" s="105">
        <v>199</v>
      </c>
      <c r="I123" s="105">
        <v>239</v>
      </c>
      <c r="J123" s="105">
        <f t="shared" ref="J123" si="184">F123*0.9</f>
        <v>716.31</v>
      </c>
      <c r="K123" s="105">
        <f t="shared" ref="K123" si="185">F123*0.87</f>
        <v>692.43299999999999</v>
      </c>
      <c r="L123" s="105">
        <f t="shared" si="162"/>
        <v>676.51499999999999</v>
      </c>
      <c r="M123" s="105">
        <f>F123*0.83</f>
        <v>660.59699999999998</v>
      </c>
      <c r="N123" s="100">
        <f>F123*0.8</f>
        <v>636.72</v>
      </c>
      <c r="O123" s="132">
        <f t="shared" si="183"/>
        <v>573.048</v>
      </c>
    </row>
    <row r="124" spans="1:15" s="2" customFormat="1" ht="10.15" customHeight="1" x14ac:dyDescent="0.2">
      <c r="A124" s="101"/>
      <c r="B124" s="101"/>
      <c r="C124" s="106"/>
      <c r="D124" s="103"/>
      <c r="E124" s="104"/>
      <c r="F124" s="105">
        <v>0</v>
      </c>
      <c r="G124" s="105"/>
      <c r="H124" s="105"/>
      <c r="I124" s="105"/>
      <c r="J124" s="105"/>
      <c r="K124" s="105"/>
      <c r="L124" s="105"/>
      <c r="M124" s="105"/>
      <c r="N124" s="100"/>
      <c r="O124" s="133"/>
    </row>
    <row r="125" spans="1:15" s="2" customFormat="1" ht="10.15" customHeight="1" x14ac:dyDescent="0.2">
      <c r="A125" s="101"/>
      <c r="B125" s="101"/>
      <c r="C125" s="106" t="s">
        <v>25</v>
      </c>
      <c r="D125" s="103"/>
      <c r="E125" s="104"/>
      <c r="F125" s="105">
        <f>10.89*N1</f>
        <v>762.30000000000007</v>
      </c>
      <c r="G125" s="50"/>
      <c r="H125" s="50"/>
      <c r="I125" s="50"/>
      <c r="J125" s="105">
        <f t="shared" ref="J125" si="186">F125*0.9</f>
        <v>686.07</v>
      </c>
      <c r="K125" s="105">
        <f t="shared" ref="K125" si="187">F125*0.87</f>
        <v>663.20100000000002</v>
      </c>
      <c r="L125" s="105">
        <f t="shared" si="162"/>
        <v>647.95500000000004</v>
      </c>
      <c r="M125" s="105">
        <f>F125*0.83</f>
        <v>632.70900000000006</v>
      </c>
      <c r="N125" s="100">
        <f>F125*0.8</f>
        <v>609.84</v>
      </c>
      <c r="O125" s="132">
        <f t="shared" si="183"/>
        <v>548.85599999999999</v>
      </c>
    </row>
    <row r="126" spans="1:15" s="2" customFormat="1" ht="10.15" customHeight="1" x14ac:dyDescent="0.2">
      <c r="A126" s="101"/>
      <c r="B126" s="101"/>
      <c r="C126" s="106"/>
      <c r="D126" s="103"/>
      <c r="E126" s="104"/>
      <c r="F126" s="105">
        <v>0</v>
      </c>
      <c r="G126" s="50"/>
      <c r="H126" s="50"/>
      <c r="I126" s="50"/>
      <c r="J126" s="105"/>
      <c r="K126" s="105"/>
      <c r="L126" s="105"/>
      <c r="M126" s="105"/>
      <c r="N126" s="100"/>
      <c r="O126" s="133"/>
    </row>
    <row r="127" spans="1:15" s="2" customFormat="1" ht="10.15" customHeight="1" x14ac:dyDescent="0.2">
      <c r="A127" s="101"/>
      <c r="B127" s="101"/>
      <c r="C127" s="102" t="s">
        <v>22</v>
      </c>
      <c r="D127" s="103"/>
      <c r="E127" s="104"/>
      <c r="F127" s="105">
        <f>11.1*N1</f>
        <v>777</v>
      </c>
      <c r="G127" s="105"/>
      <c r="H127" s="105">
        <v>375</v>
      </c>
      <c r="I127" s="105"/>
      <c r="J127" s="105">
        <f t="shared" ref="J127" si="188">F127*0.9</f>
        <v>699.30000000000007</v>
      </c>
      <c r="K127" s="105">
        <f t="shared" ref="K127" si="189">F127*0.87</f>
        <v>675.99</v>
      </c>
      <c r="L127" s="105">
        <f t="shared" si="162"/>
        <v>660.44999999999993</v>
      </c>
      <c r="M127" s="105">
        <f>F127*0.83</f>
        <v>644.91</v>
      </c>
      <c r="N127" s="100">
        <f t="shared" ref="N127" si="190">F127*0.8</f>
        <v>621.6</v>
      </c>
      <c r="O127" s="132">
        <f>F127*0.72</f>
        <v>559.43999999999994</v>
      </c>
    </row>
    <row r="128" spans="1:15" s="2" customFormat="1" ht="24" customHeight="1" x14ac:dyDescent="0.2">
      <c r="A128" s="101"/>
      <c r="B128" s="101"/>
      <c r="C128" s="107"/>
      <c r="D128" s="103"/>
      <c r="E128" s="104"/>
      <c r="F128" s="105">
        <v>0</v>
      </c>
      <c r="G128" s="105"/>
      <c r="H128" s="105"/>
      <c r="I128" s="105"/>
      <c r="J128" s="105"/>
      <c r="K128" s="105"/>
      <c r="L128" s="105"/>
      <c r="M128" s="105"/>
      <c r="N128" s="100"/>
      <c r="O128" s="133"/>
    </row>
    <row r="129" spans="1:15" s="2" customFormat="1" ht="10.15" customHeight="1" x14ac:dyDescent="0.2">
      <c r="A129" s="101"/>
      <c r="B129" s="101" t="s">
        <v>11</v>
      </c>
      <c r="C129" s="106" t="s">
        <v>23</v>
      </c>
      <c r="D129" s="103">
        <v>12</v>
      </c>
      <c r="E129" s="104">
        <v>5900</v>
      </c>
      <c r="F129" s="105">
        <f>10.33*N1</f>
        <v>723.1</v>
      </c>
      <c r="G129" s="105">
        <v>247</v>
      </c>
      <c r="H129" s="105">
        <v>193</v>
      </c>
      <c r="I129" s="105">
        <v>232</v>
      </c>
      <c r="J129" s="105">
        <f t="shared" ref="J129" si="191">F129*0.9</f>
        <v>650.79000000000008</v>
      </c>
      <c r="K129" s="105">
        <f t="shared" ref="K129" si="192">F129*0.87</f>
        <v>629.09699999999998</v>
      </c>
      <c r="L129" s="105">
        <f t="shared" si="162"/>
        <v>614.63499999999999</v>
      </c>
      <c r="M129" s="105">
        <f>F129*0.83</f>
        <v>600.173</v>
      </c>
      <c r="N129" s="100">
        <f t="shared" ref="N129" si="193">F129*0.8</f>
        <v>578.48</v>
      </c>
      <c r="O129" s="132">
        <f t="shared" ref="O129" si="194">F129*0.72</f>
        <v>520.63199999999995</v>
      </c>
    </row>
    <row r="130" spans="1:15" s="2" customFormat="1" ht="10.15" customHeight="1" x14ac:dyDescent="0.2">
      <c r="A130" s="101"/>
      <c r="B130" s="101"/>
      <c r="C130" s="106"/>
      <c r="D130" s="103"/>
      <c r="E130" s="104"/>
      <c r="F130" s="105">
        <v>0</v>
      </c>
      <c r="G130" s="105"/>
      <c r="H130" s="105"/>
      <c r="I130" s="105"/>
      <c r="J130" s="105"/>
      <c r="K130" s="105"/>
      <c r="L130" s="105"/>
      <c r="M130" s="105"/>
      <c r="N130" s="100"/>
      <c r="O130" s="133"/>
    </row>
    <row r="131" spans="1:15" s="2" customFormat="1" ht="10.15" customHeight="1" x14ac:dyDescent="0.2">
      <c r="A131" s="101"/>
      <c r="B131" s="101"/>
      <c r="C131" s="106" t="s">
        <v>24</v>
      </c>
      <c r="D131" s="103"/>
      <c r="E131" s="104"/>
      <c r="F131" s="105">
        <f>10.95*N1</f>
        <v>766.5</v>
      </c>
      <c r="G131" s="105">
        <v>260</v>
      </c>
      <c r="H131" s="105">
        <v>203</v>
      </c>
      <c r="I131" s="105">
        <v>244</v>
      </c>
      <c r="J131" s="105">
        <f t="shared" ref="J131" si="195">F131*0.9</f>
        <v>689.85</v>
      </c>
      <c r="K131" s="105">
        <f t="shared" ref="K131" si="196">F131*0.87</f>
        <v>666.85500000000002</v>
      </c>
      <c r="L131" s="105">
        <f t="shared" si="162"/>
        <v>651.52499999999998</v>
      </c>
      <c r="M131" s="105">
        <f>F131*0.83</f>
        <v>636.19499999999994</v>
      </c>
      <c r="N131" s="100">
        <f t="shared" ref="N131" si="197">F131*0.8</f>
        <v>613.20000000000005</v>
      </c>
      <c r="O131" s="132">
        <f t="shared" ref="O131" si="198">F131*0.72</f>
        <v>551.88</v>
      </c>
    </row>
    <row r="132" spans="1:15" s="2" customFormat="1" ht="10.15" customHeight="1" x14ac:dyDescent="0.2">
      <c r="A132" s="101"/>
      <c r="B132" s="101"/>
      <c r="C132" s="106"/>
      <c r="D132" s="103"/>
      <c r="E132" s="104"/>
      <c r="F132" s="105">
        <v>0</v>
      </c>
      <c r="G132" s="105"/>
      <c r="H132" s="105"/>
      <c r="I132" s="105"/>
      <c r="J132" s="105"/>
      <c r="K132" s="105"/>
      <c r="L132" s="105"/>
      <c r="M132" s="105"/>
      <c r="N132" s="100"/>
      <c r="O132" s="133"/>
    </row>
    <row r="133" spans="1:15" s="2" customFormat="1" ht="10.15" customHeight="1" x14ac:dyDescent="0.2">
      <c r="A133" s="101"/>
      <c r="B133" s="101"/>
      <c r="C133" s="106" t="s">
        <v>25</v>
      </c>
      <c r="D133" s="103"/>
      <c r="E133" s="104"/>
      <c r="F133" s="105">
        <f>10.48*N1</f>
        <v>733.6</v>
      </c>
      <c r="G133" s="50"/>
      <c r="H133" s="50"/>
      <c r="I133" s="50"/>
      <c r="J133" s="105">
        <f t="shared" ref="J133" si="199">F133*0.9</f>
        <v>660.24</v>
      </c>
      <c r="K133" s="105">
        <f t="shared" ref="K133" si="200">F133*0.87</f>
        <v>638.23199999999997</v>
      </c>
      <c r="L133" s="105">
        <f t="shared" si="162"/>
        <v>623.56000000000006</v>
      </c>
      <c r="M133" s="105">
        <f>F133*0.83</f>
        <v>608.88800000000003</v>
      </c>
      <c r="N133" s="100">
        <f t="shared" ref="N133" si="201">F133*0.8</f>
        <v>586.88</v>
      </c>
      <c r="O133" s="132">
        <f t="shared" ref="O133" si="202">F133*0.72</f>
        <v>528.19200000000001</v>
      </c>
    </row>
    <row r="134" spans="1:15" s="2" customFormat="1" ht="10.15" customHeight="1" x14ac:dyDescent="0.2">
      <c r="A134" s="101"/>
      <c r="B134" s="101"/>
      <c r="C134" s="106"/>
      <c r="D134" s="103"/>
      <c r="E134" s="104"/>
      <c r="F134" s="105">
        <v>0</v>
      </c>
      <c r="G134" s="50"/>
      <c r="H134" s="50"/>
      <c r="I134" s="50"/>
      <c r="J134" s="105"/>
      <c r="K134" s="105"/>
      <c r="L134" s="105"/>
      <c r="M134" s="105"/>
      <c r="N134" s="100"/>
      <c r="O134" s="133"/>
    </row>
    <row r="135" spans="1:15" s="2" customFormat="1" ht="10.15" customHeight="1" x14ac:dyDescent="0.2">
      <c r="A135" s="101"/>
      <c r="B135" s="101"/>
      <c r="C135" s="102" t="s">
        <v>22</v>
      </c>
      <c r="D135" s="103"/>
      <c r="E135" s="104"/>
      <c r="F135" s="105">
        <f>10.69*N1</f>
        <v>748.3</v>
      </c>
      <c r="G135" s="105"/>
      <c r="H135" s="105">
        <v>375</v>
      </c>
      <c r="I135" s="105"/>
      <c r="J135" s="105">
        <f t="shared" ref="J135" si="203">F135*0.9</f>
        <v>673.47</v>
      </c>
      <c r="K135" s="105">
        <f t="shared" ref="K135" si="204">F135*0.87</f>
        <v>651.02099999999996</v>
      </c>
      <c r="L135" s="105">
        <f t="shared" si="162"/>
        <v>636.05499999999995</v>
      </c>
      <c r="M135" s="105">
        <f>F135*0.83</f>
        <v>621.08899999999994</v>
      </c>
      <c r="N135" s="100">
        <f t="shared" ref="N135" si="205">F135*0.8</f>
        <v>598.64</v>
      </c>
      <c r="O135" s="132">
        <f t="shared" ref="O135" si="206">F135*0.72</f>
        <v>538.77599999999995</v>
      </c>
    </row>
    <row r="136" spans="1:15" s="2" customFormat="1" ht="10.15" customHeight="1" x14ac:dyDescent="0.2">
      <c r="A136" s="101"/>
      <c r="B136" s="101"/>
      <c r="C136" s="107"/>
      <c r="D136" s="103"/>
      <c r="E136" s="104"/>
      <c r="F136" s="105">
        <v>0</v>
      </c>
      <c r="G136" s="105"/>
      <c r="H136" s="105"/>
      <c r="I136" s="105"/>
      <c r="J136" s="105"/>
      <c r="K136" s="105"/>
      <c r="L136" s="105"/>
      <c r="M136" s="105"/>
      <c r="N136" s="100"/>
      <c r="O136" s="133"/>
    </row>
    <row r="137" spans="1:15" s="2" customFormat="1" ht="20.100000000000001" customHeight="1" x14ac:dyDescent="0.2">
      <c r="A137" s="101"/>
      <c r="B137" s="101" t="s">
        <v>32</v>
      </c>
      <c r="C137" s="102" t="s">
        <v>23</v>
      </c>
      <c r="D137" s="103">
        <v>8</v>
      </c>
      <c r="E137" s="104">
        <v>5900</v>
      </c>
      <c r="F137" s="100">
        <f>30.98*N1</f>
        <v>2168.6</v>
      </c>
      <c r="G137" s="50"/>
      <c r="H137" s="50"/>
      <c r="I137" s="50"/>
      <c r="J137" s="100">
        <f>F137*0.9</f>
        <v>1951.74</v>
      </c>
      <c r="K137" s="100">
        <f>F137*0.87</f>
        <v>1886.682</v>
      </c>
      <c r="L137" s="100">
        <f>F137*0.85</f>
        <v>1843.31</v>
      </c>
      <c r="M137" s="100">
        <f>F137*0.83</f>
        <v>1799.9379999999999</v>
      </c>
      <c r="N137" s="100">
        <f t="shared" ref="N137" si="207">F137*0.8</f>
        <v>1734.88</v>
      </c>
      <c r="O137" s="132">
        <f>F137*0.72</f>
        <v>1561.3919999999998</v>
      </c>
    </row>
    <row r="138" spans="1:15" s="2" customFormat="1" ht="51" customHeight="1" x14ac:dyDescent="0.2">
      <c r="A138" s="101"/>
      <c r="B138" s="101"/>
      <c r="C138" s="102"/>
      <c r="D138" s="103"/>
      <c r="E138" s="104"/>
      <c r="F138" s="100">
        <v>0</v>
      </c>
      <c r="G138" s="50"/>
      <c r="H138" s="50"/>
      <c r="I138" s="50"/>
      <c r="J138" s="100"/>
      <c r="K138" s="100"/>
      <c r="L138" s="100"/>
      <c r="M138" s="100"/>
      <c r="N138" s="100"/>
      <c r="O138" s="133"/>
    </row>
    <row r="139" spans="1:15" s="2" customFormat="1" ht="20.100000000000001" customHeight="1" x14ac:dyDescent="0.2">
      <c r="A139" s="101"/>
      <c r="B139" s="101" t="s">
        <v>33</v>
      </c>
      <c r="C139" s="102" t="str">
        <f>C137</f>
        <v>серебро</v>
      </c>
      <c r="D139" s="103">
        <v>16</v>
      </c>
      <c r="E139" s="104">
        <f>E137</f>
        <v>5900</v>
      </c>
      <c r="F139" s="100">
        <f>14.41*N1</f>
        <v>1008.7</v>
      </c>
      <c r="G139" s="50"/>
      <c r="H139" s="50"/>
      <c r="I139" s="50"/>
      <c r="J139" s="100">
        <f>F139*0.9</f>
        <v>907.83</v>
      </c>
      <c r="K139" s="100">
        <f>F139*0.87</f>
        <v>877.56900000000007</v>
      </c>
      <c r="L139" s="100">
        <f>F139*0.85</f>
        <v>857.39499999999998</v>
      </c>
      <c r="M139" s="100">
        <f>F139*0.83</f>
        <v>837.221</v>
      </c>
      <c r="N139" s="100">
        <f>F139*0.8</f>
        <v>806.96</v>
      </c>
      <c r="O139" s="132">
        <f t="shared" ref="O139" si="208">F139*0.72</f>
        <v>726.26400000000001</v>
      </c>
    </row>
    <row r="140" spans="1:15" s="2" customFormat="1" ht="53.25" customHeight="1" x14ac:dyDescent="0.2">
      <c r="A140" s="101"/>
      <c r="B140" s="101"/>
      <c r="C140" s="102"/>
      <c r="D140" s="103"/>
      <c r="E140" s="104"/>
      <c r="F140" s="100">
        <v>0</v>
      </c>
      <c r="G140" s="50">
        <f t="shared" ref="G140:I140" si="209">G138</f>
        <v>0</v>
      </c>
      <c r="H140" s="50">
        <f t="shared" si="209"/>
        <v>0</v>
      </c>
      <c r="I140" s="50">
        <f t="shared" si="209"/>
        <v>0</v>
      </c>
      <c r="J140" s="100"/>
      <c r="K140" s="100"/>
      <c r="L140" s="100"/>
      <c r="M140" s="100"/>
      <c r="N140" s="100"/>
      <c r="O140" s="133"/>
    </row>
    <row r="141" spans="1:15" s="2" customFormat="1" ht="23.45" customHeight="1" x14ac:dyDescent="0.2">
      <c r="A141" s="94" t="s">
        <v>207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6"/>
      <c r="O141" s="40"/>
    </row>
    <row r="142" spans="1:15" s="2" customFormat="1" ht="12" customHeight="1" x14ac:dyDescent="0.2">
      <c r="A142" s="97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9"/>
      <c r="O142" s="40"/>
    </row>
    <row r="143" spans="1:15" s="2" customFormat="1" ht="12.75" customHeight="1" x14ac:dyDescent="0.2">
      <c r="A143" s="97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9"/>
      <c r="O143" s="40"/>
    </row>
    <row r="144" spans="1:15" s="2" customFormat="1" ht="4.5" customHeight="1" x14ac:dyDescent="0.2">
      <c r="A144" s="10"/>
      <c r="B144" s="10"/>
      <c r="C144" s="11"/>
      <c r="D144" s="12"/>
      <c r="E144" s="10"/>
      <c r="F144" s="11"/>
      <c r="G144" s="6"/>
      <c r="H144" s="6"/>
      <c r="I144" s="6"/>
      <c r="J144" s="11"/>
      <c r="K144" s="75"/>
      <c r="L144" s="75"/>
      <c r="M144" s="75"/>
      <c r="N144" s="76"/>
      <c r="O144" s="40"/>
    </row>
    <row r="145" spans="1:15" s="2" customFormat="1" ht="14.45" customHeight="1" x14ac:dyDescent="0.25">
      <c r="A145" s="76"/>
      <c r="B145" s="19" t="s">
        <v>18</v>
      </c>
      <c r="C145" s="13"/>
      <c r="D145" s="13"/>
      <c r="E145" s="13"/>
      <c r="F145" s="77"/>
      <c r="G145" s="78"/>
      <c r="H145" s="79"/>
      <c r="I145" s="75"/>
      <c r="J145" s="80"/>
      <c r="K145" s="75"/>
      <c r="L145" s="75"/>
      <c r="M145" s="75"/>
      <c r="N145" s="76"/>
      <c r="O145" s="40"/>
    </row>
    <row r="146" spans="1:15" s="2" customFormat="1" ht="12" customHeight="1" x14ac:dyDescent="0.2">
      <c r="A146" s="76"/>
      <c r="B146" s="76"/>
      <c r="C146" s="81" t="s">
        <v>19</v>
      </c>
      <c r="D146" s="81"/>
      <c r="E146" s="81"/>
      <c r="F146" s="82">
        <v>0.1</v>
      </c>
      <c r="G146" s="78"/>
      <c r="H146" s="79"/>
      <c r="I146" s="75"/>
      <c r="J146" s="80"/>
      <c r="K146" s="75"/>
      <c r="L146" s="75"/>
      <c r="M146" s="75"/>
      <c r="N146" s="76"/>
      <c r="O146" s="40"/>
    </row>
    <row r="147" spans="1:15" s="2" customFormat="1" ht="10.5" customHeight="1" x14ac:dyDescent="0.2">
      <c r="A147" s="76"/>
      <c r="B147" s="76"/>
      <c r="C147" s="81" t="s">
        <v>20</v>
      </c>
      <c r="D147" s="81"/>
      <c r="E147" s="81"/>
      <c r="F147" s="82">
        <v>0.13</v>
      </c>
      <c r="G147" s="78"/>
      <c r="H147" s="79"/>
      <c r="I147" s="75"/>
      <c r="J147" s="80"/>
      <c r="K147" s="75"/>
      <c r="L147" s="75"/>
      <c r="M147" s="75"/>
      <c r="N147" s="76"/>
      <c r="O147" s="40"/>
    </row>
    <row r="148" spans="1:15" s="2" customFormat="1" ht="12" customHeight="1" x14ac:dyDescent="0.2">
      <c r="A148" s="76"/>
      <c r="B148" s="76"/>
      <c r="C148" s="81" t="s">
        <v>21</v>
      </c>
      <c r="D148" s="81"/>
      <c r="E148" s="81"/>
      <c r="F148" s="82">
        <v>0.15</v>
      </c>
      <c r="G148" s="78"/>
      <c r="H148" s="79"/>
      <c r="I148" s="75"/>
      <c r="J148" s="80"/>
      <c r="K148" s="75"/>
      <c r="L148" s="75"/>
      <c r="M148" s="75"/>
      <c r="N148" s="76"/>
      <c r="O148" s="40"/>
    </row>
    <row r="149" spans="1:15" s="2" customFormat="1" ht="12" customHeight="1" x14ac:dyDescent="0.2">
      <c r="A149" s="76"/>
      <c r="B149" s="76"/>
      <c r="C149" s="81" t="s">
        <v>27</v>
      </c>
      <c r="D149" s="81"/>
      <c r="E149" s="81"/>
      <c r="F149" s="82">
        <v>0.17</v>
      </c>
      <c r="G149" s="78"/>
      <c r="H149" s="6">
        <v>506</v>
      </c>
      <c r="I149" s="75"/>
      <c r="J149" s="80"/>
      <c r="K149" s="75"/>
      <c r="L149" s="75"/>
      <c r="M149" s="75"/>
      <c r="N149" s="76"/>
      <c r="O149" s="40"/>
    </row>
    <row r="150" spans="1:15" s="2" customFormat="1" ht="12.75" customHeight="1" x14ac:dyDescent="0.2">
      <c r="A150" s="76"/>
      <c r="B150" s="76"/>
      <c r="C150" s="81" t="s">
        <v>28</v>
      </c>
      <c r="D150" s="81"/>
      <c r="E150" s="81"/>
      <c r="F150" s="82">
        <v>0.2</v>
      </c>
      <c r="G150" s="76"/>
      <c r="H150" s="76"/>
      <c r="I150" s="76"/>
      <c r="J150" s="76"/>
      <c r="K150" s="75"/>
      <c r="L150" s="75"/>
      <c r="M150" s="75"/>
      <c r="N150" s="76"/>
      <c r="O150" s="40"/>
    </row>
    <row r="151" spans="1:15" s="2" customFormat="1" ht="12.75" customHeight="1" x14ac:dyDescent="0.2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5"/>
      <c r="L151" s="75"/>
      <c r="M151" s="75"/>
      <c r="N151" s="76"/>
      <c r="O151" s="40"/>
    </row>
    <row r="152" spans="1:15" s="2" customFormat="1" ht="6.4" customHeight="1" x14ac:dyDescent="0.2">
      <c r="K152" s="3"/>
      <c r="L152" s="3"/>
      <c r="M152" s="3"/>
      <c r="O152" s="40"/>
    </row>
    <row r="153" spans="1:15" s="2" customFormat="1" ht="18.75" customHeight="1" x14ac:dyDescent="0.2">
      <c r="A153" s="1"/>
      <c r="B153" s="1"/>
      <c r="C153" s="1"/>
      <c r="D153" s="1"/>
      <c r="E153" s="1"/>
      <c r="F153" s="1"/>
      <c r="G153" s="1"/>
      <c r="H153" s="4">
        <v>6</v>
      </c>
      <c r="I153" s="3"/>
      <c r="J153" s="7"/>
      <c r="K153" s="3"/>
      <c r="L153" s="3"/>
      <c r="M153" s="3"/>
      <c r="O153" s="40"/>
    </row>
    <row r="154" spans="1:15" s="2" customFormat="1" ht="41.45" customHeight="1" x14ac:dyDescent="0.2">
      <c r="A154" s="1"/>
      <c r="B154" s="1"/>
      <c r="C154" s="1"/>
      <c r="D154" s="1"/>
      <c r="E154" s="1"/>
      <c r="F154" s="1"/>
      <c r="G154" s="1"/>
      <c r="H154" s="4">
        <v>20</v>
      </c>
      <c r="I154" s="3"/>
      <c r="J154" s="7"/>
      <c r="K154" s="3"/>
      <c r="L154" s="3"/>
      <c r="M154" s="3"/>
      <c r="O154" s="40"/>
    </row>
    <row r="155" spans="1:15" s="2" customFormat="1" ht="41.45" customHeight="1" x14ac:dyDescent="0.2">
      <c r="A155" s="1"/>
      <c r="B155" s="1"/>
      <c r="C155" s="1"/>
      <c r="D155" s="1"/>
      <c r="E155" s="1"/>
      <c r="F155" s="1"/>
      <c r="G155" s="1"/>
      <c r="H155" s="4">
        <v>20</v>
      </c>
      <c r="I155" s="3"/>
      <c r="J155" s="7"/>
      <c r="K155" s="3"/>
      <c r="L155" s="3"/>
      <c r="M155" s="3"/>
      <c r="O155" s="40"/>
    </row>
    <row r="156" spans="1:15" s="2" customFormat="1" ht="41.45" customHeight="1" x14ac:dyDescent="0.2">
      <c r="A156" s="1"/>
      <c r="B156" s="1"/>
      <c r="C156" s="1"/>
      <c r="D156" s="1"/>
      <c r="E156" s="1"/>
      <c r="F156" s="1"/>
      <c r="G156" s="1"/>
      <c r="H156" s="4">
        <v>18</v>
      </c>
      <c r="I156" s="3"/>
      <c r="J156" s="7"/>
      <c r="K156" s="3"/>
      <c r="L156" s="3"/>
      <c r="M156" s="3"/>
      <c r="O156" s="40"/>
    </row>
    <row r="157" spans="1:15" s="2" customFormat="1" ht="27.2" customHeight="1" x14ac:dyDescent="0.2">
      <c r="A157" s="1"/>
      <c r="B157" s="1"/>
      <c r="C157" s="1"/>
      <c r="D157" s="1"/>
      <c r="E157" s="1"/>
      <c r="F157" s="1"/>
      <c r="G157" s="1"/>
      <c r="H157" s="4">
        <v>10</v>
      </c>
      <c r="I157" s="3"/>
      <c r="J157" s="7"/>
      <c r="K157" s="3"/>
      <c r="L157" s="3"/>
      <c r="M157" s="3"/>
      <c r="O157" s="40"/>
    </row>
    <row r="158" spans="1:15" s="2" customFormat="1" ht="39" customHeight="1" x14ac:dyDescent="0.2">
      <c r="A158" s="1"/>
      <c r="B158" s="1"/>
      <c r="C158" s="1"/>
      <c r="D158" s="1"/>
      <c r="E158" s="1"/>
      <c r="F158" s="1"/>
      <c r="G158" s="1"/>
      <c r="H158" s="4">
        <v>10</v>
      </c>
      <c r="I158" s="3"/>
      <c r="J158" s="7"/>
      <c r="K158" s="3"/>
      <c r="L158" s="3"/>
      <c r="M158" s="3"/>
      <c r="O158" s="40"/>
    </row>
    <row r="159" spans="1:15" s="2" customFormat="1" ht="14.1" customHeight="1" x14ac:dyDescent="0.2">
      <c r="A159" s="1"/>
      <c r="B159" s="1"/>
      <c r="C159" s="1"/>
      <c r="D159" s="1"/>
      <c r="E159" s="1"/>
      <c r="F159" s="1"/>
      <c r="G159" s="1"/>
      <c r="H159" s="5"/>
      <c r="I159" s="3"/>
      <c r="J159" s="7"/>
      <c r="K159" s="3"/>
      <c r="L159" s="3"/>
      <c r="M159" s="3"/>
      <c r="O159" s="40"/>
    </row>
    <row r="160" spans="1:15" s="2" customFormat="1" ht="14.1" customHeight="1" x14ac:dyDescent="0.2">
      <c r="A160" s="1"/>
      <c r="B160" s="1"/>
      <c r="C160" s="1"/>
      <c r="D160" s="1"/>
      <c r="E160" s="1"/>
      <c r="F160" s="1"/>
      <c r="G160" s="1"/>
      <c r="H160" s="5"/>
      <c r="I160" s="3"/>
      <c r="J160" s="7"/>
      <c r="K160" s="3"/>
      <c r="L160" s="3"/>
      <c r="M160" s="3"/>
      <c r="O160" s="40"/>
    </row>
    <row r="161" spans="1:15" s="2" customFormat="1" ht="12.75" customHeight="1" x14ac:dyDescent="0.2">
      <c r="A161" s="1"/>
      <c r="B161" s="1"/>
      <c r="C161" s="1"/>
      <c r="D161" s="1"/>
      <c r="E161" s="1"/>
      <c r="F161" s="1"/>
      <c r="G161" s="1"/>
      <c r="H161" s="5"/>
      <c r="I161" s="3"/>
      <c r="J161" s="7"/>
      <c r="K161" s="3"/>
      <c r="L161" s="3"/>
      <c r="M161" s="3"/>
      <c r="O161" s="40"/>
    </row>
    <row r="162" spans="1:15" s="2" customFormat="1" ht="12.75" customHeight="1" x14ac:dyDescent="0.2">
      <c r="A162" s="1"/>
      <c r="B162" s="1"/>
      <c r="C162" s="1"/>
      <c r="D162" s="1"/>
      <c r="E162" s="1"/>
      <c r="F162" s="1"/>
      <c r="G162" s="1"/>
      <c r="H162" s="5"/>
      <c r="I162" s="3"/>
      <c r="J162" s="7"/>
      <c r="K162" s="3"/>
      <c r="L162" s="3"/>
      <c r="M162" s="3"/>
      <c r="O162" s="40"/>
    </row>
    <row r="163" spans="1:15" s="2" customFormat="1" ht="12.75" customHeight="1" x14ac:dyDescent="0.2">
      <c r="A163" s="1"/>
      <c r="B163" s="1"/>
      <c r="C163" s="1"/>
      <c r="D163" s="1"/>
      <c r="E163" s="1"/>
      <c r="F163" s="1"/>
      <c r="G163" s="1"/>
      <c r="H163" s="5"/>
      <c r="I163" s="3"/>
      <c r="J163" s="7"/>
      <c r="K163" s="3"/>
      <c r="L163" s="3"/>
      <c r="M163" s="3"/>
      <c r="O163" s="40"/>
    </row>
    <row r="164" spans="1:15" s="2" customFormat="1" ht="12.75" customHeight="1" x14ac:dyDescent="0.2">
      <c r="A164" s="1"/>
      <c r="B164" s="1"/>
      <c r="C164" s="1"/>
      <c r="D164" s="1"/>
      <c r="E164" s="1"/>
      <c r="F164" s="1"/>
      <c r="G164" s="1"/>
      <c r="H164" s="5"/>
      <c r="I164" s="3"/>
      <c r="J164" s="7"/>
      <c r="K164" s="3"/>
      <c r="L164" s="3"/>
      <c r="M164" s="3"/>
      <c r="O164" s="40"/>
    </row>
    <row r="165" spans="1:15" s="2" customFormat="1" ht="12.75" customHeight="1" x14ac:dyDescent="0.2">
      <c r="A165" s="1"/>
      <c r="B165" s="1"/>
      <c r="C165" s="1"/>
      <c r="D165" s="1"/>
      <c r="E165" s="1"/>
      <c r="F165" s="1"/>
      <c r="G165" s="1"/>
      <c r="H165" s="5"/>
      <c r="I165" s="3"/>
      <c r="J165" s="7"/>
      <c r="K165" s="3"/>
      <c r="L165" s="3"/>
      <c r="M165" s="3"/>
      <c r="O165" s="40"/>
    </row>
    <row r="166" spans="1:15" s="2" customFormat="1" ht="14.1" customHeight="1" x14ac:dyDescent="0.2">
      <c r="A166" s="1"/>
      <c r="B166" s="1"/>
      <c r="C166" s="1"/>
      <c r="D166" s="1"/>
      <c r="E166" s="1"/>
      <c r="F166" s="1"/>
      <c r="G166" s="1"/>
      <c r="H166" s="5"/>
      <c r="I166" s="3"/>
      <c r="J166" s="7"/>
      <c r="K166" s="3"/>
      <c r="L166" s="3"/>
      <c r="M166" s="3"/>
      <c r="O166" s="40"/>
    </row>
    <row r="167" spans="1:15" s="2" customFormat="1" ht="15.95" customHeight="1" x14ac:dyDescent="0.2">
      <c r="A167" s="1"/>
      <c r="B167" s="1"/>
      <c r="C167" s="1"/>
      <c r="D167" s="1"/>
      <c r="E167" s="1"/>
      <c r="F167" s="1"/>
      <c r="G167" s="1"/>
      <c r="H167" s="3"/>
      <c r="I167" s="3"/>
      <c r="J167" s="7"/>
      <c r="K167" s="3"/>
      <c r="L167" s="3"/>
      <c r="M167" s="3"/>
      <c r="O167" s="40"/>
    </row>
    <row r="168" spans="1:15" s="2" customFormat="1" ht="25.5" customHeight="1" x14ac:dyDescent="0.2">
      <c r="A168" s="1"/>
      <c r="B168" s="1"/>
      <c r="C168" s="1"/>
      <c r="D168" s="1"/>
      <c r="E168" s="1"/>
      <c r="F168" s="1"/>
      <c r="G168" s="1"/>
      <c r="H168" s="3"/>
      <c r="I168" s="3"/>
      <c r="J168" s="7"/>
      <c r="K168" s="3"/>
      <c r="L168" s="3"/>
      <c r="M168" s="3"/>
      <c r="O168" s="40"/>
    </row>
    <row r="169" spans="1:15" s="2" customFormat="1" ht="14.1" customHeight="1" x14ac:dyDescent="0.2">
      <c r="A169" s="1"/>
      <c r="B169" s="1"/>
      <c r="C169" s="1"/>
      <c r="D169" s="1"/>
      <c r="E169" s="1"/>
      <c r="F169" s="1"/>
      <c r="G169" s="1"/>
      <c r="H169" s="3"/>
      <c r="I169" s="3"/>
      <c r="J169" s="7"/>
      <c r="K169" s="3"/>
      <c r="L169" s="3"/>
      <c r="M169" s="3"/>
      <c r="O169" s="40"/>
    </row>
    <row r="170" spans="1:15" s="2" customFormat="1" ht="14.1" customHeight="1" x14ac:dyDescent="0.2">
      <c r="A170" s="1"/>
      <c r="B170" s="1"/>
      <c r="C170" s="1"/>
      <c r="D170" s="1"/>
      <c r="E170" s="1"/>
      <c r="F170" s="1"/>
      <c r="G170" s="1"/>
      <c r="H170" s="3"/>
      <c r="I170" s="3"/>
      <c r="J170" s="7"/>
      <c r="K170" s="3"/>
      <c r="L170" s="3"/>
      <c r="M170" s="3"/>
      <c r="O170" s="40"/>
    </row>
    <row r="171" spans="1:15" s="2" customFormat="1" ht="14.1" customHeight="1" x14ac:dyDescent="0.2">
      <c r="A171" s="1"/>
      <c r="B171" s="1"/>
      <c r="C171" s="1"/>
      <c r="D171" s="1"/>
      <c r="E171" s="1"/>
      <c r="F171" s="1"/>
      <c r="G171" s="1"/>
      <c r="H171" s="3"/>
      <c r="I171" s="3"/>
      <c r="J171" s="7"/>
      <c r="K171" s="3"/>
      <c r="L171" s="3"/>
      <c r="M171" s="3"/>
      <c r="O171" s="40"/>
    </row>
    <row r="172" spans="1:15" s="2" customFormat="1" ht="25.5" customHeight="1" x14ac:dyDescent="0.2">
      <c r="A172" s="1"/>
      <c r="B172" s="1"/>
      <c r="C172" s="1"/>
      <c r="D172" s="1"/>
      <c r="E172" s="1"/>
      <c r="F172" s="1"/>
      <c r="G172" s="1"/>
      <c r="H172" s="3"/>
      <c r="I172" s="3"/>
      <c r="J172" s="7"/>
      <c r="K172" s="3"/>
      <c r="L172" s="3"/>
      <c r="M172" s="3"/>
      <c r="O172" s="40"/>
    </row>
    <row r="173" spans="1:15" s="2" customFormat="1" ht="14.1" customHeight="1" x14ac:dyDescent="0.2">
      <c r="A173" s="1"/>
      <c r="B173" s="1"/>
      <c r="C173" s="1"/>
      <c r="D173" s="1"/>
      <c r="E173" s="1"/>
      <c r="F173" s="1"/>
      <c r="G173" s="1"/>
      <c r="H173" s="3"/>
      <c r="I173" s="3"/>
      <c r="J173" s="7"/>
      <c r="K173" s="3"/>
      <c r="L173" s="3"/>
      <c r="M173" s="3"/>
      <c r="O173" s="40"/>
    </row>
    <row r="174" spans="1:15" s="2" customFormat="1" ht="14.1" customHeight="1" x14ac:dyDescent="0.2">
      <c r="A174" s="1"/>
      <c r="B174" s="1"/>
      <c r="C174" s="1"/>
      <c r="D174" s="1"/>
      <c r="E174" s="1"/>
      <c r="F174" s="1"/>
      <c r="G174" s="1"/>
      <c r="H174" s="3"/>
      <c r="I174" s="3"/>
      <c r="J174" s="7"/>
      <c r="K174" s="3"/>
      <c r="L174" s="3"/>
      <c r="M174" s="3"/>
      <c r="O174" s="40"/>
    </row>
    <row r="175" spans="1:15" s="2" customFormat="1" ht="14.1" customHeight="1" x14ac:dyDescent="0.2">
      <c r="A175" s="1"/>
      <c r="B175" s="1"/>
      <c r="C175" s="1"/>
      <c r="D175" s="1"/>
      <c r="E175" s="1"/>
      <c r="F175" s="1"/>
      <c r="G175" s="1"/>
      <c r="H175" s="3"/>
      <c r="I175" s="3"/>
      <c r="J175" s="7"/>
      <c r="K175" s="3"/>
      <c r="L175" s="3"/>
      <c r="M175" s="3"/>
      <c r="O175" s="40"/>
    </row>
    <row r="176" spans="1:15" s="2" customFormat="1" ht="14.1" customHeight="1" x14ac:dyDescent="0.2">
      <c r="A176" s="1"/>
      <c r="B176" s="1"/>
      <c r="C176" s="1"/>
      <c r="D176" s="1"/>
      <c r="E176" s="1"/>
      <c r="F176" s="1"/>
      <c r="G176" s="1"/>
      <c r="H176" s="3"/>
      <c r="I176" s="3"/>
      <c r="J176" s="7"/>
      <c r="K176" s="3"/>
      <c r="L176" s="3"/>
      <c r="M176" s="3"/>
      <c r="O176" s="40"/>
    </row>
    <row r="177" spans="1:15" s="2" customFormat="1" ht="14.1" customHeight="1" x14ac:dyDescent="0.2">
      <c r="A177" s="1"/>
      <c r="B177" s="1"/>
      <c r="C177" s="1"/>
      <c r="D177" s="1"/>
      <c r="E177" s="1"/>
      <c r="F177" s="1"/>
      <c r="G177" s="1"/>
      <c r="H177" s="3"/>
      <c r="I177" s="3"/>
      <c r="J177" s="7"/>
      <c r="K177" s="3"/>
      <c r="L177" s="3"/>
      <c r="M177" s="3"/>
      <c r="O177" s="40"/>
    </row>
    <row r="178" spans="1:15" s="2" customFormat="1" ht="14.1" customHeight="1" x14ac:dyDescent="0.2">
      <c r="A178" s="1"/>
      <c r="B178" s="1"/>
      <c r="C178" s="1"/>
      <c r="D178" s="1"/>
      <c r="E178" s="1"/>
      <c r="F178" s="1"/>
      <c r="G178" s="1"/>
      <c r="J178" s="8"/>
      <c r="O178" s="40"/>
    </row>
    <row r="179" spans="1:15" s="2" customFormat="1" ht="14.1" customHeight="1" x14ac:dyDescent="0.2">
      <c r="A179" s="1"/>
      <c r="B179" s="1"/>
      <c r="C179" s="1"/>
      <c r="D179" s="1"/>
      <c r="E179" s="1"/>
      <c r="F179" s="1"/>
      <c r="G179" s="1"/>
      <c r="J179" s="8"/>
      <c r="O179" s="40"/>
    </row>
    <row r="180" spans="1:15" s="2" customFormat="1" ht="14.1" customHeight="1" x14ac:dyDescent="0.2">
      <c r="A180" s="1"/>
      <c r="B180" s="1"/>
      <c r="C180" s="1"/>
      <c r="D180" s="1"/>
      <c r="E180" s="1"/>
      <c r="F180" s="1"/>
      <c r="G180" s="1"/>
      <c r="J180" s="8"/>
      <c r="O180" s="40"/>
    </row>
    <row r="181" spans="1:15" s="2" customFormat="1" ht="14.1" customHeight="1" x14ac:dyDescent="0.2">
      <c r="A181" s="1"/>
      <c r="B181" s="1"/>
      <c r="C181" s="1"/>
      <c r="D181" s="1"/>
      <c r="E181" s="1"/>
      <c r="F181" s="1"/>
      <c r="G181" s="1"/>
      <c r="J181" s="8"/>
      <c r="O181" s="40"/>
    </row>
    <row r="182" spans="1:15" ht="14.1" customHeight="1" x14ac:dyDescent="0.2"/>
    <row r="183" spans="1:15" ht="14.1" customHeight="1" x14ac:dyDescent="0.2"/>
    <row r="184" spans="1:15" ht="14.1" customHeight="1" x14ac:dyDescent="0.2"/>
    <row r="185" spans="1:15" ht="14.1" customHeight="1" x14ac:dyDescent="0.2"/>
    <row r="186" spans="1:15" ht="14.1" customHeight="1" x14ac:dyDescent="0.2"/>
    <row r="187" spans="1:15" ht="14.1" customHeight="1" x14ac:dyDescent="0.2"/>
    <row r="188" spans="1:15" ht="14.1" customHeight="1" x14ac:dyDescent="0.2"/>
    <row r="189" spans="1:15" ht="14.1" customHeight="1" x14ac:dyDescent="0.2"/>
    <row r="190" spans="1:15" ht="14.1" customHeight="1" x14ac:dyDescent="0.2"/>
    <row r="191" spans="1:15" ht="14.1" customHeight="1" x14ac:dyDescent="0.2"/>
    <row r="192" spans="1:15" ht="14.1" customHeight="1" x14ac:dyDescent="0.2"/>
    <row r="193" ht="14.1" customHeight="1" x14ac:dyDescent="0.2"/>
    <row r="194" ht="14.1" customHeight="1" x14ac:dyDescent="0.2"/>
    <row r="195" ht="14.1" customHeight="1" x14ac:dyDescent="0.2"/>
    <row r="196" ht="14.1" customHeight="1" x14ac:dyDescent="0.2"/>
    <row r="197" ht="14.1" customHeight="1" x14ac:dyDescent="0.2"/>
    <row r="198" ht="14.1" customHeight="1" x14ac:dyDescent="0.2"/>
    <row r="199" ht="14.1" customHeight="1" x14ac:dyDescent="0.2"/>
    <row r="200" ht="14.1" customHeight="1" x14ac:dyDescent="0.2"/>
    <row r="201" ht="14.1" customHeight="1" x14ac:dyDescent="0.2"/>
  </sheetData>
  <sheetProtection formatCells="0" formatColumns="0" formatRows="0" insertColumns="0" insertRows="0" insertHyperlinks="0" deleteColumns="0" deleteRows="0" sort="0" autoFilter="0" pivotTables="0"/>
  <mergeCells count="676">
    <mergeCell ref="A2:N2"/>
    <mergeCell ref="A80:A90"/>
    <mergeCell ref="B80:B90"/>
    <mergeCell ref="A91:A101"/>
    <mergeCell ref="B91:B101"/>
    <mergeCell ref="A26:A36"/>
    <mergeCell ref="B26:B36"/>
    <mergeCell ref="A37:A47"/>
    <mergeCell ref="B37:B47"/>
    <mergeCell ref="A48:A57"/>
    <mergeCell ref="B48:B57"/>
    <mergeCell ref="A58:A68"/>
    <mergeCell ref="B58:B68"/>
    <mergeCell ref="A69:A79"/>
    <mergeCell ref="B69:B79"/>
    <mergeCell ref="L93:L94"/>
    <mergeCell ref="L95:L96"/>
    <mergeCell ref="L97:L98"/>
    <mergeCell ref="L99:L100"/>
    <mergeCell ref="L54:L55"/>
    <mergeCell ref="L56:L57"/>
    <mergeCell ref="L58:L59"/>
    <mergeCell ref="L60:L61"/>
    <mergeCell ref="L62:L63"/>
    <mergeCell ref="O75:O76"/>
    <mergeCell ref="O77:O78"/>
    <mergeCell ref="O80:O81"/>
    <mergeCell ref="O82:O83"/>
    <mergeCell ref="O84:O85"/>
    <mergeCell ref="O86:O87"/>
    <mergeCell ref="O88:O89"/>
    <mergeCell ref="O91:O92"/>
    <mergeCell ref="O93:O94"/>
    <mergeCell ref="O95:O96"/>
    <mergeCell ref="O97:O98"/>
    <mergeCell ref="O99:O100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39:O140"/>
    <mergeCell ref="O137:O138"/>
    <mergeCell ref="O135:O136"/>
    <mergeCell ref="O133:O134"/>
    <mergeCell ref="O131:O132"/>
    <mergeCell ref="O129:O130"/>
    <mergeCell ref="O127:O128"/>
    <mergeCell ref="O125:O126"/>
    <mergeCell ref="O123:O124"/>
    <mergeCell ref="O121:O122"/>
    <mergeCell ref="O118:O119"/>
    <mergeCell ref="O15:O16"/>
    <mergeCell ref="O17:O18"/>
    <mergeCell ref="O19:O20"/>
    <mergeCell ref="O21:O22"/>
    <mergeCell ref="O23:O24"/>
    <mergeCell ref="O26:O27"/>
    <mergeCell ref="O28:O29"/>
    <mergeCell ref="O30:O31"/>
    <mergeCell ref="O32:O33"/>
    <mergeCell ref="O34:O35"/>
    <mergeCell ref="O37:O38"/>
    <mergeCell ref="O39:O40"/>
    <mergeCell ref="O41:O42"/>
    <mergeCell ref="O43:O44"/>
    <mergeCell ref="O45:O46"/>
    <mergeCell ref="O48:O49"/>
    <mergeCell ref="O50:O51"/>
    <mergeCell ref="O52:O53"/>
    <mergeCell ref="O54:O55"/>
    <mergeCell ref="O56:O57"/>
    <mergeCell ref="O58:O59"/>
    <mergeCell ref="O60:O61"/>
    <mergeCell ref="O62:O63"/>
    <mergeCell ref="G127:G128"/>
    <mergeCell ref="H127:H128"/>
    <mergeCell ref="G104:G105"/>
    <mergeCell ref="G106:G107"/>
    <mergeCell ref="L91:L92"/>
    <mergeCell ref="J69:J70"/>
    <mergeCell ref="H73:H74"/>
    <mergeCell ref="J71:J72"/>
    <mergeCell ref="J75:J76"/>
    <mergeCell ref="J84:J85"/>
    <mergeCell ref="J82:J83"/>
    <mergeCell ref="J77:J78"/>
    <mergeCell ref="H106:H107"/>
    <mergeCell ref="I102:I103"/>
    <mergeCell ref="I118:I119"/>
    <mergeCell ref="J73:J74"/>
    <mergeCell ref="K64:K65"/>
    <mergeCell ref="K66:K67"/>
    <mergeCell ref="K69:K70"/>
    <mergeCell ref="O3:O4"/>
    <mergeCell ref="O64:O65"/>
    <mergeCell ref="O66:O67"/>
    <mergeCell ref="O69:O70"/>
    <mergeCell ref="O71:O72"/>
    <mergeCell ref="O73:O74"/>
    <mergeCell ref="L84:L85"/>
    <mergeCell ref="L86:L87"/>
    <mergeCell ref="L88:L89"/>
    <mergeCell ref="L64:L65"/>
    <mergeCell ref="L66:L67"/>
    <mergeCell ref="L69:L70"/>
    <mergeCell ref="L71:L72"/>
    <mergeCell ref="L73:L74"/>
    <mergeCell ref="L75:L76"/>
    <mergeCell ref="L77:L78"/>
    <mergeCell ref="L80:L81"/>
    <mergeCell ref="L82:L83"/>
    <mergeCell ref="M23:M24"/>
    <mergeCell ref="N23:N24"/>
    <mergeCell ref="L3:L4"/>
    <mergeCell ref="L15:L16"/>
    <mergeCell ref="L17:L18"/>
    <mergeCell ref="L19:L20"/>
    <mergeCell ref="A112:A120"/>
    <mergeCell ref="B112:B120"/>
    <mergeCell ref="L131:L132"/>
    <mergeCell ref="L133:L134"/>
    <mergeCell ref="L135:L136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1:L122"/>
    <mergeCell ref="L123:L124"/>
    <mergeCell ref="L125:L126"/>
    <mergeCell ref="L127:L128"/>
    <mergeCell ref="L129:L130"/>
    <mergeCell ref="G123:G124"/>
    <mergeCell ref="F121:F122"/>
    <mergeCell ref="F116:F117"/>
    <mergeCell ref="F114:F115"/>
    <mergeCell ref="F104:F105"/>
    <mergeCell ref="L43:L44"/>
    <mergeCell ref="L45:L46"/>
    <mergeCell ref="L48:L49"/>
    <mergeCell ref="L50:L51"/>
    <mergeCell ref="L52:L53"/>
    <mergeCell ref="H23:H24"/>
    <mergeCell ref="F62:F63"/>
    <mergeCell ref="G48:G49"/>
    <mergeCell ref="G50:G51"/>
    <mergeCell ref="I45:I46"/>
    <mergeCell ref="I48:I49"/>
    <mergeCell ref="J45:J46"/>
    <mergeCell ref="J30:J31"/>
    <mergeCell ref="I26:I27"/>
    <mergeCell ref="I28:I29"/>
    <mergeCell ref="I23:I24"/>
    <mergeCell ref="J43:J44"/>
    <mergeCell ref="I34:I35"/>
    <mergeCell ref="J34:J35"/>
    <mergeCell ref="J41:J42"/>
    <mergeCell ref="J37:J38"/>
    <mergeCell ref="J39:J40"/>
    <mergeCell ref="J54:J55"/>
    <mergeCell ref="J26:J27"/>
    <mergeCell ref="L41:L42"/>
    <mergeCell ref="H15:H16"/>
    <mergeCell ref="H17:H18"/>
    <mergeCell ref="H26:H27"/>
    <mergeCell ref="H28:H29"/>
    <mergeCell ref="J28:J29"/>
    <mergeCell ref="I39:I40"/>
    <mergeCell ref="J3:J4"/>
    <mergeCell ref="J15:J16"/>
    <mergeCell ref="J17:J18"/>
    <mergeCell ref="J23:J24"/>
    <mergeCell ref="I37:I38"/>
    <mergeCell ref="I3:I4"/>
    <mergeCell ref="I15:I16"/>
    <mergeCell ref="J19:J20"/>
    <mergeCell ref="I17:I18"/>
    <mergeCell ref="J32:J33"/>
    <mergeCell ref="J21:J22"/>
    <mergeCell ref="A1:M1"/>
    <mergeCell ref="J108:J109"/>
    <mergeCell ref="D102:D109"/>
    <mergeCell ref="C118:C119"/>
    <mergeCell ref="F118:F119"/>
    <mergeCell ref="J118:J119"/>
    <mergeCell ref="G102:G103"/>
    <mergeCell ref="E112:E119"/>
    <mergeCell ref="H34:H35"/>
    <mergeCell ref="H37:H38"/>
    <mergeCell ref="H39:H40"/>
    <mergeCell ref="H45:H46"/>
    <mergeCell ref="H48:H49"/>
    <mergeCell ref="H50:H51"/>
    <mergeCell ref="G3:G4"/>
    <mergeCell ref="G28:G29"/>
    <mergeCell ref="H3:H4"/>
    <mergeCell ref="L26:L27"/>
    <mergeCell ref="L28:L29"/>
    <mergeCell ref="L30:L31"/>
    <mergeCell ref="L32:L33"/>
    <mergeCell ref="L34:L35"/>
    <mergeCell ref="L37:L38"/>
    <mergeCell ref="L39:L40"/>
    <mergeCell ref="E3:E4"/>
    <mergeCell ref="G62:G63"/>
    <mergeCell ref="G34:G35"/>
    <mergeCell ref="G15:G16"/>
    <mergeCell ref="G17:G18"/>
    <mergeCell ref="G23:G24"/>
    <mergeCell ref="G26:G27"/>
    <mergeCell ref="F21:F22"/>
    <mergeCell ref="F34:F35"/>
    <mergeCell ref="F15:F16"/>
    <mergeCell ref="G37:G38"/>
    <mergeCell ref="F30:F31"/>
    <mergeCell ref="F45:F46"/>
    <mergeCell ref="F48:F49"/>
    <mergeCell ref="F3:F4"/>
    <mergeCell ref="F56:F57"/>
    <mergeCell ref="G39:G40"/>
    <mergeCell ref="G45:G46"/>
    <mergeCell ref="E26:E33"/>
    <mergeCell ref="F32:F33"/>
    <mergeCell ref="F37:F38"/>
    <mergeCell ref="E23:E24"/>
    <mergeCell ref="E15:E22"/>
    <mergeCell ref="F19:F20"/>
    <mergeCell ref="F23:F24"/>
    <mergeCell ref="H80:H81"/>
    <mergeCell ref="G71:G72"/>
    <mergeCell ref="G52:G53"/>
    <mergeCell ref="E48:E55"/>
    <mergeCell ref="E56:E57"/>
    <mergeCell ref="F28:F29"/>
    <mergeCell ref="F26:F27"/>
    <mergeCell ref="H52:H53"/>
    <mergeCell ref="H58:H59"/>
    <mergeCell ref="H60:H61"/>
    <mergeCell ref="H62:H63"/>
    <mergeCell ref="E80:E87"/>
    <mergeCell ref="H71:H72"/>
    <mergeCell ref="H82:H83"/>
    <mergeCell ref="G73:G74"/>
    <mergeCell ref="G69:G70"/>
    <mergeCell ref="G82:G83"/>
    <mergeCell ref="G84:G85"/>
    <mergeCell ref="G80:G81"/>
    <mergeCell ref="C26:C27"/>
    <mergeCell ref="F17:F18"/>
    <mergeCell ref="C30:C31"/>
    <mergeCell ref="C71:C72"/>
    <mergeCell ref="F71:F72"/>
    <mergeCell ref="F80:F81"/>
    <mergeCell ref="F84:F85"/>
    <mergeCell ref="C91:C92"/>
    <mergeCell ref="C82:C83"/>
    <mergeCell ref="C84:C85"/>
    <mergeCell ref="D91:D98"/>
    <mergeCell ref="C54:C55"/>
    <mergeCell ref="F54:F55"/>
    <mergeCell ref="C60:C61"/>
    <mergeCell ref="C66:C67"/>
    <mergeCell ref="E88:E89"/>
    <mergeCell ref="C64:C65"/>
    <mergeCell ref="D56:D57"/>
    <mergeCell ref="D26:D33"/>
    <mergeCell ref="C43:C44"/>
    <mergeCell ref="D37:D44"/>
    <mergeCell ref="E37:E44"/>
    <mergeCell ref="E45:E46"/>
    <mergeCell ref="C39:C40"/>
    <mergeCell ref="A3:A4"/>
    <mergeCell ref="B3:B4"/>
    <mergeCell ref="C3:C4"/>
    <mergeCell ref="D3:D4"/>
    <mergeCell ref="C23:C24"/>
    <mergeCell ref="C15:C16"/>
    <mergeCell ref="C19:C20"/>
    <mergeCell ref="C21:C22"/>
    <mergeCell ref="D15:D22"/>
    <mergeCell ref="C17:C18"/>
    <mergeCell ref="A15:A25"/>
    <mergeCell ref="B15:B25"/>
    <mergeCell ref="A5:A14"/>
    <mergeCell ref="B5:B14"/>
    <mergeCell ref="D13:D14"/>
    <mergeCell ref="D5:D12"/>
    <mergeCell ref="D23:D25"/>
    <mergeCell ref="C32:C33"/>
    <mergeCell ref="F39:F40"/>
    <mergeCell ref="F73:F74"/>
    <mergeCell ref="D45:D46"/>
    <mergeCell ref="C52:C53"/>
    <mergeCell ref="F52:F53"/>
    <mergeCell ref="F50:F51"/>
    <mergeCell ref="F43:F44"/>
    <mergeCell ref="D69:D76"/>
    <mergeCell ref="C69:C70"/>
    <mergeCell ref="C56:C57"/>
    <mergeCell ref="C48:C49"/>
    <mergeCell ref="C73:C74"/>
    <mergeCell ref="F60:F61"/>
    <mergeCell ref="C58:C59"/>
    <mergeCell ref="C45:C46"/>
    <mergeCell ref="C37:C38"/>
    <mergeCell ref="C50:C51"/>
    <mergeCell ref="C34:C35"/>
    <mergeCell ref="E34:E35"/>
    <mergeCell ref="D48:D55"/>
    <mergeCell ref="D34:D36"/>
    <mergeCell ref="J56:J57"/>
    <mergeCell ref="I50:I51"/>
    <mergeCell ref="E66:E67"/>
    <mergeCell ref="C41:C42"/>
    <mergeCell ref="F41:F42"/>
    <mergeCell ref="J58:J59"/>
    <mergeCell ref="J60:J61"/>
    <mergeCell ref="J62:J63"/>
    <mergeCell ref="H102:H103"/>
    <mergeCell ref="F102:F103"/>
    <mergeCell ref="F95:F96"/>
    <mergeCell ref="F97:F98"/>
    <mergeCell ref="H93:H94"/>
    <mergeCell ref="H95:H96"/>
    <mergeCell ref="H91:H92"/>
    <mergeCell ref="G95:G96"/>
    <mergeCell ref="E91:E98"/>
    <mergeCell ref="I71:I72"/>
    <mergeCell ref="I73:I74"/>
    <mergeCell ref="D80:D87"/>
    <mergeCell ref="C93:C94"/>
    <mergeCell ref="I52:I53"/>
    <mergeCell ref="C95:C96"/>
    <mergeCell ref="H84:H85"/>
    <mergeCell ref="E99:E100"/>
    <mergeCell ref="C104:C105"/>
    <mergeCell ref="C102:C103"/>
    <mergeCell ref="C97:C98"/>
    <mergeCell ref="C106:C107"/>
    <mergeCell ref="F69:F70"/>
    <mergeCell ref="F77:F78"/>
    <mergeCell ref="C77:C78"/>
    <mergeCell ref="D77:D78"/>
    <mergeCell ref="E69:E76"/>
    <mergeCell ref="E77:E78"/>
    <mergeCell ref="F75:F76"/>
    <mergeCell ref="C75:C76"/>
    <mergeCell ref="F82:F83"/>
    <mergeCell ref="C86:C87"/>
    <mergeCell ref="F86:F87"/>
    <mergeCell ref="C80:C81"/>
    <mergeCell ref="F99:F100"/>
    <mergeCell ref="J80:J81"/>
    <mergeCell ref="C99:C100"/>
    <mergeCell ref="J93:J94"/>
    <mergeCell ref="A102:A111"/>
    <mergeCell ref="J112:J113"/>
    <mergeCell ref="B102:B111"/>
    <mergeCell ref="I104:I105"/>
    <mergeCell ref="I106:I107"/>
    <mergeCell ref="I91:I92"/>
    <mergeCell ref="I84:I85"/>
    <mergeCell ref="I93:I94"/>
    <mergeCell ref="I95:I96"/>
    <mergeCell ref="G91:G92"/>
    <mergeCell ref="G93:G94"/>
    <mergeCell ref="F91:F92"/>
    <mergeCell ref="F93:F94"/>
    <mergeCell ref="C88:C89"/>
    <mergeCell ref="D88:D89"/>
    <mergeCell ref="F88:F89"/>
    <mergeCell ref="C108:C109"/>
    <mergeCell ref="F110:F111"/>
    <mergeCell ref="C110:C111"/>
    <mergeCell ref="D110:D111"/>
    <mergeCell ref="D99:D100"/>
    <mergeCell ref="I114:I115"/>
    <mergeCell ref="J106:J107"/>
    <mergeCell ref="F106:F107"/>
    <mergeCell ref="C114:C115"/>
    <mergeCell ref="C112:C113"/>
    <mergeCell ref="E110:E111"/>
    <mergeCell ref="D112:D119"/>
    <mergeCell ref="J116:J117"/>
    <mergeCell ref="C116:C117"/>
    <mergeCell ref="E102:E109"/>
    <mergeCell ref="F112:F113"/>
    <mergeCell ref="G118:G119"/>
    <mergeCell ref="G112:G113"/>
    <mergeCell ref="G114:G115"/>
    <mergeCell ref="H104:H105"/>
    <mergeCell ref="F108:F109"/>
    <mergeCell ref="I69:I70"/>
    <mergeCell ref="H69:H70"/>
    <mergeCell ref="I60:I61"/>
    <mergeCell ref="I62:I63"/>
    <mergeCell ref="J127:J128"/>
    <mergeCell ref="J86:J87"/>
    <mergeCell ref="J91:J92"/>
    <mergeCell ref="J88:J89"/>
    <mergeCell ref="J99:J100"/>
    <mergeCell ref="J97:J98"/>
    <mergeCell ref="H118:H119"/>
    <mergeCell ref="H121:H122"/>
    <mergeCell ref="H123:H124"/>
    <mergeCell ref="H112:H113"/>
    <mergeCell ref="H114:H115"/>
    <mergeCell ref="I80:I81"/>
    <mergeCell ref="I82:I83"/>
    <mergeCell ref="J66:J67"/>
    <mergeCell ref="J114:J115"/>
    <mergeCell ref="J95:J96"/>
    <mergeCell ref="J102:J103"/>
    <mergeCell ref="J104:J105"/>
    <mergeCell ref="J110:J111"/>
    <mergeCell ref="I112:I113"/>
    <mergeCell ref="I58:I59"/>
    <mergeCell ref="D58:D65"/>
    <mergeCell ref="E58:E65"/>
    <mergeCell ref="C62:C63"/>
    <mergeCell ref="F66:F67"/>
    <mergeCell ref="F58:F59"/>
    <mergeCell ref="J64:J65"/>
    <mergeCell ref="D66:D67"/>
    <mergeCell ref="F64:F65"/>
    <mergeCell ref="G58:G59"/>
    <mergeCell ref="G60:G61"/>
    <mergeCell ref="J50:J51"/>
    <mergeCell ref="J48:J49"/>
    <mergeCell ref="J52:J53"/>
    <mergeCell ref="C28:C29"/>
    <mergeCell ref="L21:L22"/>
    <mergeCell ref="L23:L24"/>
    <mergeCell ref="K3:K4"/>
    <mergeCell ref="K15:K16"/>
    <mergeCell ref="K17:K18"/>
    <mergeCell ref="K19:K20"/>
    <mergeCell ref="K21:K22"/>
    <mergeCell ref="K23:K24"/>
    <mergeCell ref="K26:K27"/>
    <mergeCell ref="K28:K29"/>
    <mergeCell ref="K30:K31"/>
    <mergeCell ref="K32:K33"/>
    <mergeCell ref="K34:K35"/>
    <mergeCell ref="K37:K38"/>
    <mergeCell ref="K39:K40"/>
    <mergeCell ref="K41:K42"/>
    <mergeCell ref="K43:K44"/>
    <mergeCell ref="K45:K46"/>
    <mergeCell ref="K48:K49"/>
    <mergeCell ref="K50:K51"/>
    <mergeCell ref="M3:M4"/>
    <mergeCell ref="N3:N4"/>
    <mergeCell ref="M15:M16"/>
    <mergeCell ref="N15:N16"/>
    <mergeCell ref="M17:M18"/>
    <mergeCell ref="N17:N18"/>
    <mergeCell ref="M19:M20"/>
    <mergeCell ref="N19:N20"/>
    <mergeCell ref="M21:M22"/>
    <mergeCell ref="N21:N22"/>
    <mergeCell ref="K52:K53"/>
    <mergeCell ref="K54:K55"/>
    <mergeCell ref="K56:K57"/>
    <mergeCell ref="K58:K59"/>
    <mergeCell ref="K60:K61"/>
    <mergeCell ref="K62:K63"/>
    <mergeCell ref="K71:K72"/>
    <mergeCell ref="K73:K74"/>
    <mergeCell ref="K75:K76"/>
    <mergeCell ref="K77:K78"/>
    <mergeCell ref="K80:K81"/>
    <mergeCell ref="K82:K83"/>
    <mergeCell ref="K84:K85"/>
    <mergeCell ref="K86:K87"/>
    <mergeCell ref="K88:K89"/>
    <mergeCell ref="K91:K92"/>
    <mergeCell ref="K93:K94"/>
    <mergeCell ref="K95:K96"/>
    <mergeCell ref="K97:K98"/>
    <mergeCell ref="K99:K100"/>
    <mergeCell ref="K121:K122"/>
    <mergeCell ref="K123:K124"/>
    <mergeCell ref="K125:K126"/>
    <mergeCell ref="K127:K128"/>
    <mergeCell ref="K129:K130"/>
    <mergeCell ref="K131:K132"/>
    <mergeCell ref="K133:K134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M26:M27"/>
    <mergeCell ref="N26:N27"/>
    <mergeCell ref="M28:M29"/>
    <mergeCell ref="N28:N29"/>
    <mergeCell ref="M30:M31"/>
    <mergeCell ref="N30:N31"/>
    <mergeCell ref="M32:M33"/>
    <mergeCell ref="N32:N33"/>
    <mergeCell ref="M34:M35"/>
    <mergeCell ref="N34:N35"/>
    <mergeCell ref="M37:M38"/>
    <mergeCell ref="N37:N38"/>
    <mergeCell ref="M39:M40"/>
    <mergeCell ref="N39:N40"/>
    <mergeCell ref="M41:M42"/>
    <mergeCell ref="N41:N42"/>
    <mergeCell ref="M43:M44"/>
    <mergeCell ref="N43:N44"/>
    <mergeCell ref="M45:M46"/>
    <mergeCell ref="N45:N46"/>
    <mergeCell ref="M48:M49"/>
    <mergeCell ref="N48:N49"/>
    <mergeCell ref="N50:N51"/>
    <mergeCell ref="M52:M53"/>
    <mergeCell ref="N52:N53"/>
    <mergeCell ref="M54:M55"/>
    <mergeCell ref="N54:N55"/>
    <mergeCell ref="M56:M57"/>
    <mergeCell ref="N56:N57"/>
    <mergeCell ref="M50:M51"/>
    <mergeCell ref="M58:M59"/>
    <mergeCell ref="N58:N59"/>
    <mergeCell ref="N71:N72"/>
    <mergeCell ref="M73:M74"/>
    <mergeCell ref="N73:N74"/>
    <mergeCell ref="M75:M76"/>
    <mergeCell ref="N75:N76"/>
    <mergeCell ref="M77:M78"/>
    <mergeCell ref="N77:N78"/>
    <mergeCell ref="N80:N81"/>
    <mergeCell ref="M60:M61"/>
    <mergeCell ref="N60:N61"/>
    <mergeCell ref="M62:M63"/>
    <mergeCell ref="N62:N63"/>
    <mergeCell ref="M64:M65"/>
    <mergeCell ref="N64:N65"/>
    <mergeCell ref="M66:M67"/>
    <mergeCell ref="N66:N67"/>
    <mergeCell ref="N69:N70"/>
    <mergeCell ref="M80:M81"/>
    <mergeCell ref="M69:M70"/>
    <mergeCell ref="M71:M72"/>
    <mergeCell ref="N93:N94"/>
    <mergeCell ref="M95:M96"/>
    <mergeCell ref="N95:N96"/>
    <mergeCell ref="M97:M98"/>
    <mergeCell ref="N97:N98"/>
    <mergeCell ref="M99:M100"/>
    <mergeCell ref="N99:N100"/>
    <mergeCell ref="N102:N103"/>
    <mergeCell ref="M82:M83"/>
    <mergeCell ref="N82:N83"/>
    <mergeCell ref="M84:M85"/>
    <mergeCell ref="N84:N85"/>
    <mergeCell ref="M86:M87"/>
    <mergeCell ref="N86:N87"/>
    <mergeCell ref="M88:M89"/>
    <mergeCell ref="N88:N89"/>
    <mergeCell ref="N91:N92"/>
    <mergeCell ref="M102:M103"/>
    <mergeCell ref="M91:M92"/>
    <mergeCell ref="M93:M94"/>
    <mergeCell ref="N114:N115"/>
    <mergeCell ref="M116:M117"/>
    <mergeCell ref="N116:N117"/>
    <mergeCell ref="M118:M119"/>
    <mergeCell ref="N118:N119"/>
    <mergeCell ref="M121:M122"/>
    <mergeCell ref="N121:N122"/>
    <mergeCell ref="N133:N134"/>
    <mergeCell ref="M104:M105"/>
    <mergeCell ref="N104:N105"/>
    <mergeCell ref="M106:M107"/>
    <mergeCell ref="N106:N107"/>
    <mergeCell ref="M108:M109"/>
    <mergeCell ref="N108:N109"/>
    <mergeCell ref="M110:M111"/>
    <mergeCell ref="N110:N111"/>
    <mergeCell ref="N112:N113"/>
    <mergeCell ref="M112:M113"/>
    <mergeCell ref="M114:M115"/>
    <mergeCell ref="N135:N136"/>
    <mergeCell ref="M123:M124"/>
    <mergeCell ref="N123:N124"/>
    <mergeCell ref="M125:M126"/>
    <mergeCell ref="N125:N126"/>
    <mergeCell ref="M127:M128"/>
    <mergeCell ref="N127:N128"/>
    <mergeCell ref="M129:M130"/>
    <mergeCell ref="N129:N130"/>
    <mergeCell ref="M131:M132"/>
    <mergeCell ref="N131:N132"/>
    <mergeCell ref="M133:M134"/>
    <mergeCell ref="M135:M136"/>
    <mergeCell ref="A129:A136"/>
    <mergeCell ref="A121:A128"/>
    <mergeCell ref="I135:I136"/>
    <mergeCell ref="J133:J134"/>
    <mergeCell ref="B129:B136"/>
    <mergeCell ref="B121:B128"/>
    <mergeCell ref="F133:F134"/>
    <mergeCell ref="C133:C134"/>
    <mergeCell ref="C125:C126"/>
    <mergeCell ref="C129:C130"/>
    <mergeCell ref="J135:J136"/>
    <mergeCell ref="C123:C124"/>
    <mergeCell ref="F127:F128"/>
    <mergeCell ref="I121:I122"/>
    <mergeCell ref="I123:I124"/>
    <mergeCell ref="I127:I128"/>
    <mergeCell ref="I129:I130"/>
    <mergeCell ref="H135:H136"/>
    <mergeCell ref="G131:G132"/>
    <mergeCell ref="G135:G136"/>
    <mergeCell ref="G129:G130"/>
    <mergeCell ref="G121:G122"/>
    <mergeCell ref="F129:F130"/>
    <mergeCell ref="H131:H132"/>
    <mergeCell ref="K135:K136"/>
    <mergeCell ref="J129:J130"/>
    <mergeCell ref="J131:J132"/>
    <mergeCell ref="C131:C132"/>
    <mergeCell ref="D121:D128"/>
    <mergeCell ref="D129:D136"/>
    <mergeCell ref="F131:F132"/>
    <mergeCell ref="E121:E128"/>
    <mergeCell ref="E129:E136"/>
    <mergeCell ref="C127:C128"/>
    <mergeCell ref="H129:H130"/>
    <mergeCell ref="C135:C136"/>
    <mergeCell ref="F135:F136"/>
    <mergeCell ref="C121:C122"/>
    <mergeCell ref="F123:F124"/>
    <mergeCell ref="J121:J122"/>
    <mergeCell ref="J123:J124"/>
    <mergeCell ref="J125:J126"/>
    <mergeCell ref="I131:I132"/>
    <mergeCell ref="F125:F126"/>
    <mergeCell ref="A141:N143"/>
    <mergeCell ref="N137:N138"/>
    <mergeCell ref="F139:F140"/>
    <mergeCell ref="J139:J140"/>
    <mergeCell ref="K139:K140"/>
    <mergeCell ref="L139:L140"/>
    <mergeCell ref="M139:M140"/>
    <mergeCell ref="N139:N140"/>
    <mergeCell ref="B139:B140"/>
    <mergeCell ref="A139:A140"/>
    <mergeCell ref="C139:C140"/>
    <mergeCell ref="D139:D140"/>
    <mergeCell ref="E139:E140"/>
    <mergeCell ref="M137:M138"/>
    <mergeCell ref="A137:A138"/>
    <mergeCell ref="B137:B138"/>
    <mergeCell ref="C137:C138"/>
    <mergeCell ref="D137:D138"/>
    <mergeCell ref="E137:E138"/>
    <mergeCell ref="F137:F138"/>
    <mergeCell ref="J137:J138"/>
    <mergeCell ref="K137:K138"/>
    <mergeCell ref="L137:L138"/>
  </mergeCells>
  <printOptions horizontalCentered="1"/>
  <pageMargins left="0.23622047244094491" right="0.23622047244094491" top="0.35433070866141736" bottom="0.19685039370078741" header="0.31496062992125984" footer="0.31496062992125984"/>
  <pageSetup paperSize="9" scale="80" fitToHeight="0" orientation="portrait" verticalDpi="200" r:id="rId1"/>
  <headerFooter alignWithMargins="0"/>
  <rowBreaks count="2" manualBreakCount="2">
    <brk id="57" max="13" man="1"/>
    <brk id="128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1"/>
  <sheetViews>
    <sheetView view="pageBreakPreview" zoomScaleNormal="100" zoomScaleSheetLayoutView="100" workbookViewId="0">
      <selection activeCell="A3" sqref="A3:E3"/>
    </sheetView>
  </sheetViews>
  <sheetFormatPr defaultColWidth="9.140625" defaultRowHeight="12.75" x14ac:dyDescent="0.2"/>
  <cols>
    <col min="1" max="1" width="17.7109375" style="20" customWidth="1"/>
    <col min="2" max="2" width="17.42578125" style="20" customWidth="1"/>
    <col min="3" max="3" width="14.7109375" style="20" customWidth="1"/>
    <col min="4" max="4" width="13.42578125" style="20" customWidth="1"/>
    <col min="5" max="5" width="11.5703125" style="20" customWidth="1"/>
    <col min="6" max="6" width="13" style="20" customWidth="1"/>
    <col min="7" max="7" width="12.5703125" style="20" bestFit="1" customWidth="1"/>
    <col min="8" max="8" width="11.28515625" style="20" customWidth="1"/>
    <col min="9" max="9" width="9.28515625" style="20" bestFit="1" customWidth="1"/>
    <col min="10" max="16384" width="9.140625" style="20"/>
  </cols>
  <sheetData>
    <row r="1" spans="1:9" ht="29.1" customHeight="1" x14ac:dyDescent="0.2">
      <c r="A1" s="137" t="s">
        <v>34</v>
      </c>
      <c r="B1" s="138"/>
      <c r="C1" s="138"/>
      <c r="D1" s="138"/>
      <c r="E1" s="138"/>
      <c r="F1" s="138"/>
      <c r="G1" s="138"/>
      <c r="H1" s="138"/>
      <c r="I1" s="83" t="s">
        <v>226</v>
      </c>
    </row>
    <row r="2" spans="1:9" ht="29.1" customHeight="1" x14ac:dyDescent="0.2">
      <c r="A2" s="134" t="s">
        <v>227</v>
      </c>
      <c r="B2" s="135"/>
      <c r="C2" s="135"/>
      <c r="D2" s="135"/>
      <c r="E2" s="135"/>
      <c r="F2" s="135"/>
      <c r="G2" s="135"/>
      <c r="H2" s="135"/>
      <c r="I2" s="136"/>
    </row>
    <row r="3" spans="1:9" s="21" customFormat="1" ht="34.5" customHeight="1" x14ac:dyDescent="0.2">
      <c r="A3" s="148" t="s">
        <v>35</v>
      </c>
      <c r="B3" s="149"/>
      <c r="C3" s="149"/>
      <c r="D3" s="149"/>
      <c r="E3" s="149"/>
      <c r="F3" s="92" t="s">
        <v>222</v>
      </c>
      <c r="G3" s="69" t="s">
        <v>221</v>
      </c>
      <c r="H3" s="35" t="s">
        <v>224</v>
      </c>
      <c r="I3" s="35" t="s">
        <v>223</v>
      </c>
    </row>
    <row r="4" spans="1:9" s="21" customFormat="1" ht="45.2" customHeight="1" x14ac:dyDescent="0.2">
      <c r="A4" s="140"/>
      <c r="B4" s="140"/>
      <c r="C4" s="139" t="s">
        <v>36</v>
      </c>
      <c r="D4" s="139"/>
      <c r="E4" s="139"/>
      <c r="F4" s="103" t="s">
        <v>37</v>
      </c>
      <c r="G4" s="108">
        <f>1.92*I1</f>
        <v>134.4</v>
      </c>
      <c r="H4" s="108">
        <f>G4*0.7</f>
        <v>94.08</v>
      </c>
      <c r="I4" s="108">
        <f>G4*0.59</f>
        <v>79.295999999999992</v>
      </c>
    </row>
    <row r="5" spans="1:9" s="21" customFormat="1" ht="39.75" customHeight="1" x14ac:dyDescent="0.2">
      <c r="A5" s="140"/>
      <c r="B5" s="140"/>
      <c r="C5" s="139"/>
      <c r="D5" s="139"/>
      <c r="E5" s="139"/>
      <c r="F5" s="103"/>
      <c r="G5" s="108"/>
      <c r="H5" s="108"/>
      <c r="I5" s="108"/>
    </row>
    <row r="6" spans="1:9" s="21" customFormat="1" ht="3" customHeight="1" x14ac:dyDescent="0.2">
      <c r="A6" s="140"/>
      <c r="B6" s="140"/>
      <c r="C6" s="139"/>
      <c r="D6" s="139"/>
      <c r="E6" s="139"/>
      <c r="F6" s="103"/>
      <c r="G6" s="108"/>
      <c r="H6" s="108"/>
      <c r="I6" s="108"/>
    </row>
    <row r="7" spans="1:9" s="21" customFormat="1" ht="50.1" customHeight="1" x14ac:dyDescent="0.2">
      <c r="A7" s="140"/>
      <c r="B7" s="140"/>
      <c r="C7" s="139" t="s">
        <v>38</v>
      </c>
      <c r="D7" s="139"/>
      <c r="E7" s="139"/>
      <c r="F7" s="103" t="s">
        <v>39</v>
      </c>
      <c r="G7" s="108">
        <f>1.28*I1</f>
        <v>89.600000000000009</v>
      </c>
      <c r="H7" s="108">
        <f>G7*0.63</f>
        <v>56.448000000000008</v>
      </c>
      <c r="I7" s="108">
        <f>G7*0.5</f>
        <v>44.800000000000004</v>
      </c>
    </row>
    <row r="8" spans="1:9" s="21" customFormat="1" ht="31.5" customHeight="1" x14ac:dyDescent="0.2">
      <c r="A8" s="140"/>
      <c r="B8" s="140"/>
      <c r="C8" s="139"/>
      <c r="D8" s="139"/>
      <c r="E8" s="139"/>
      <c r="F8" s="103"/>
      <c r="G8" s="108"/>
      <c r="H8" s="108"/>
      <c r="I8" s="108"/>
    </row>
    <row r="9" spans="1:9" s="21" customFormat="1" ht="6.75" customHeight="1" x14ac:dyDescent="0.2">
      <c r="A9" s="140"/>
      <c r="B9" s="140"/>
      <c r="C9" s="139"/>
      <c r="D9" s="139"/>
      <c r="E9" s="139"/>
      <c r="F9" s="103"/>
      <c r="G9" s="108"/>
      <c r="H9" s="108"/>
      <c r="I9" s="108"/>
    </row>
    <row r="10" spans="1:9" s="21" customFormat="1" ht="81.2" customHeight="1" x14ac:dyDescent="0.2">
      <c r="A10" s="103"/>
      <c r="B10" s="103"/>
      <c r="C10" s="103" t="s">
        <v>40</v>
      </c>
      <c r="D10" s="103"/>
      <c r="E10" s="103"/>
      <c r="F10" s="54" t="s">
        <v>41</v>
      </c>
      <c r="G10" s="58">
        <f>0.18*I1</f>
        <v>12.6</v>
      </c>
      <c r="H10" s="58">
        <f>G10*0.73</f>
        <v>9.1980000000000004</v>
      </c>
      <c r="I10" s="58">
        <f>G10*0.48</f>
        <v>6.048</v>
      </c>
    </row>
    <row r="11" spans="1:9" s="21" customFormat="1" ht="79.5" customHeight="1" x14ac:dyDescent="0.2">
      <c r="A11" s="103"/>
      <c r="B11" s="103"/>
      <c r="C11" s="104" t="s">
        <v>42</v>
      </c>
      <c r="D11" s="104"/>
      <c r="E11" s="104"/>
      <c r="F11" s="54" t="s">
        <v>43</v>
      </c>
      <c r="G11" s="58">
        <f>0.61*I1</f>
        <v>42.699999999999996</v>
      </c>
      <c r="H11" s="108">
        <f>G11*0.85</f>
        <v>36.294999999999995</v>
      </c>
      <c r="I11" s="108"/>
    </row>
    <row r="12" spans="1:9" s="21" customFormat="1" ht="79.5" customHeight="1" x14ac:dyDescent="0.2">
      <c r="A12" s="141"/>
      <c r="B12" s="142"/>
      <c r="C12" s="143" t="s">
        <v>219</v>
      </c>
      <c r="D12" s="144"/>
      <c r="E12" s="145"/>
      <c r="F12" s="90" t="s">
        <v>220</v>
      </c>
      <c r="G12" s="89">
        <v>35</v>
      </c>
      <c r="H12" s="146">
        <v>30</v>
      </c>
      <c r="I12" s="147"/>
    </row>
    <row r="13" spans="1:9" s="21" customFormat="1" ht="90" customHeight="1" x14ac:dyDescent="0.2">
      <c r="A13" s="103"/>
      <c r="B13" s="103"/>
      <c r="C13" s="104" t="s">
        <v>217</v>
      </c>
      <c r="D13" s="104"/>
      <c r="E13" s="104"/>
      <c r="F13" s="54" t="s">
        <v>44</v>
      </c>
      <c r="G13" s="58">
        <f>0.64*I1</f>
        <v>44.800000000000004</v>
      </c>
      <c r="H13" s="108">
        <f>G13*0.85</f>
        <v>38.080000000000005</v>
      </c>
      <c r="I13" s="108"/>
    </row>
    <row r="14" spans="1:9" s="21" customFormat="1" ht="84.75" customHeight="1" x14ac:dyDescent="0.2">
      <c r="A14" s="103"/>
      <c r="B14" s="103"/>
      <c r="C14" s="104" t="s">
        <v>218</v>
      </c>
      <c r="D14" s="104"/>
      <c r="E14" s="104"/>
      <c r="F14" s="54" t="s">
        <v>45</v>
      </c>
      <c r="G14" s="58">
        <f>0.48*I1</f>
        <v>33.6</v>
      </c>
      <c r="H14" s="108">
        <f>G14*0.85</f>
        <v>28.56</v>
      </c>
      <c r="I14" s="108"/>
    </row>
    <row r="15" spans="1:9" s="21" customFormat="1" ht="76.5" customHeight="1" x14ac:dyDescent="0.2">
      <c r="A15" s="104"/>
      <c r="B15" s="104"/>
      <c r="C15" s="143" t="s">
        <v>194</v>
      </c>
      <c r="D15" s="144"/>
      <c r="E15" s="145"/>
      <c r="F15" s="93" t="s">
        <v>225</v>
      </c>
      <c r="G15" s="108">
        <f>0.09*I1</f>
        <v>6.3</v>
      </c>
      <c r="H15" s="108"/>
      <c r="I15" s="108"/>
    </row>
    <row r="16" spans="1:9" s="21" customFormat="1" ht="72.75" customHeight="1" x14ac:dyDescent="0.2">
      <c r="A16" s="104"/>
      <c r="B16" s="104"/>
      <c r="C16" s="104" t="s">
        <v>195</v>
      </c>
      <c r="D16" s="104"/>
      <c r="E16" s="104"/>
      <c r="F16" s="104"/>
      <c r="G16" s="108">
        <f>11.1*I1</f>
        <v>777</v>
      </c>
      <c r="H16" s="108"/>
      <c r="I16" s="108"/>
    </row>
    <row r="17" spans="1:9" s="21" customFormat="1" ht="38.25" customHeight="1" x14ac:dyDescent="0.2">
      <c r="A17" s="103"/>
      <c r="B17" s="103"/>
      <c r="C17" s="103"/>
      <c r="D17" s="103"/>
      <c r="E17" s="103"/>
      <c r="F17" s="103"/>
      <c r="G17" s="35" t="s">
        <v>46</v>
      </c>
      <c r="H17" s="35" t="s">
        <v>203</v>
      </c>
      <c r="I17" s="35" t="s">
        <v>204</v>
      </c>
    </row>
    <row r="18" spans="1:9" s="21" customFormat="1" ht="81.75" customHeight="1" x14ac:dyDescent="0.2">
      <c r="A18" s="103"/>
      <c r="B18" s="103"/>
      <c r="C18" s="104" t="s">
        <v>202</v>
      </c>
      <c r="D18" s="104"/>
      <c r="E18" s="104"/>
      <c r="F18" s="54" t="s">
        <v>47</v>
      </c>
      <c r="G18" s="91">
        <v>15</v>
      </c>
      <c r="H18" s="91">
        <v>10</v>
      </c>
      <c r="I18" s="91">
        <v>8</v>
      </c>
    </row>
    <row r="19" spans="1:9" s="21" customFormat="1" ht="39" customHeight="1" x14ac:dyDescent="0.2">
      <c r="A19" s="140"/>
      <c r="B19" s="140"/>
      <c r="C19" s="104" t="s">
        <v>48</v>
      </c>
      <c r="D19" s="104"/>
      <c r="E19" s="104"/>
      <c r="F19" s="53" t="s">
        <v>49</v>
      </c>
      <c r="G19" s="91">
        <v>15</v>
      </c>
      <c r="H19" s="91">
        <v>12</v>
      </c>
      <c r="I19" s="91">
        <v>10</v>
      </c>
    </row>
    <row r="20" spans="1:9" s="21" customFormat="1" ht="89.25" customHeight="1" x14ac:dyDescent="0.2">
      <c r="A20" s="104"/>
      <c r="B20" s="104"/>
      <c r="C20" s="104" t="s">
        <v>50</v>
      </c>
      <c r="D20" s="104"/>
      <c r="E20" s="104"/>
      <c r="F20" s="53" t="s">
        <v>49</v>
      </c>
      <c r="G20" s="91">
        <v>15</v>
      </c>
      <c r="H20" s="91">
        <v>12</v>
      </c>
      <c r="I20" s="91">
        <v>10</v>
      </c>
    </row>
    <row r="21" spans="1:9" s="21" customFormat="1" ht="14.1" customHeight="1" x14ac:dyDescent="0.2">
      <c r="A21" s="24"/>
      <c r="B21" s="24"/>
      <c r="C21" s="10"/>
      <c r="D21" s="10"/>
      <c r="E21" s="10"/>
      <c r="F21" s="23"/>
      <c r="G21" s="22"/>
      <c r="H21" s="22"/>
      <c r="I21" s="22"/>
    </row>
  </sheetData>
  <sheetProtection formatCells="0" formatColumns="0" formatRows="0" insertColumns="0" insertRows="0" insertHyperlinks="0" deleteColumns="0" deleteRows="0" sort="0" autoFilter="0" pivotTables="0"/>
  <mergeCells count="42">
    <mergeCell ref="A12:B12"/>
    <mergeCell ref="C12:E12"/>
    <mergeCell ref="H12:I12"/>
    <mergeCell ref="A3:E3"/>
    <mergeCell ref="C15:E15"/>
    <mergeCell ref="G15:I15"/>
    <mergeCell ref="A13:B13"/>
    <mergeCell ref="C13:E13"/>
    <mergeCell ref="A14:B14"/>
    <mergeCell ref="A15:B15"/>
    <mergeCell ref="A10:B10"/>
    <mergeCell ref="C10:E10"/>
    <mergeCell ref="A11:B11"/>
    <mergeCell ref="C11:E11"/>
    <mergeCell ref="A7:B9"/>
    <mergeCell ref="C7:E9"/>
    <mergeCell ref="A16:B16"/>
    <mergeCell ref="C16:F16"/>
    <mergeCell ref="G16:I16"/>
    <mergeCell ref="A20:B20"/>
    <mergeCell ref="C20:E20"/>
    <mergeCell ref="A17:F17"/>
    <mergeCell ref="A19:B19"/>
    <mergeCell ref="C19:E19"/>
    <mergeCell ref="A18:B18"/>
    <mergeCell ref="C18:E18"/>
    <mergeCell ref="H14:I14"/>
    <mergeCell ref="H11:I11"/>
    <mergeCell ref="H13:I13"/>
    <mergeCell ref="H7:H9"/>
    <mergeCell ref="C14:E14"/>
    <mergeCell ref="F7:F9"/>
    <mergeCell ref="G7:G9"/>
    <mergeCell ref="I7:I9"/>
    <mergeCell ref="I4:I6"/>
    <mergeCell ref="H4:H6"/>
    <mergeCell ref="A2:I2"/>
    <mergeCell ref="A1:H1"/>
    <mergeCell ref="C4:E6"/>
    <mergeCell ref="F4:F6"/>
    <mergeCell ref="G4:G6"/>
    <mergeCell ref="A4:B6"/>
  </mergeCells>
  <printOptions horizontalCentered="1"/>
  <pageMargins left="0.39370078740157483" right="0.15748031496062992" top="0.19685039370078741" bottom="0.43307086614173229" header="0.15748031496062992" footer="0.15748031496062992"/>
  <pageSetup paperSize="9" scale="82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Q58"/>
  <sheetViews>
    <sheetView zoomScaleNormal="100" workbookViewId="0">
      <selection activeCell="A4" sqref="A4:H6"/>
    </sheetView>
  </sheetViews>
  <sheetFormatPr defaultColWidth="9.140625" defaultRowHeight="15" x14ac:dyDescent="0.25"/>
  <cols>
    <col min="1" max="11" width="3.28515625" style="25" customWidth="1"/>
    <col min="12" max="25" width="1.85546875" style="25" customWidth="1"/>
    <col min="26" max="26" width="5.28515625" style="25" customWidth="1"/>
    <col min="27" max="31" width="2.7109375" style="25" customWidth="1"/>
    <col min="32" max="32" width="6.28515625" style="25" customWidth="1"/>
    <col min="33" max="35" width="2.7109375" style="25" hidden="1" customWidth="1"/>
    <col min="36" max="36" width="10.140625" style="25" customWidth="1"/>
    <col min="37" max="37" width="9.140625" style="45"/>
    <col min="38" max="16384" width="9.140625" style="25"/>
  </cols>
  <sheetData>
    <row r="1" spans="1:43" ht="15.95" customHeight="1" x14ac:dyDescent="0.25">
      <c r="A1" s="157" t="s">
        <v>51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43" ht="15.95" customHeight="1" x14ac:dyDescent="0.25">
      <c r="A2" s="160" t="s">
        <v>192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2"/>
    </row>
    <row r="3" spans="1:43" ht="42.75" customHeight="1" x14ac:dyDescent="0.25">
      <c r="A3" s="156" t="s">
        <v>227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88">
        <v>70</v>
      </c>
    </row>
    <row r="4" spans="1:43" ht="10.15" customHeight="1" x14ac:dyDescent="0.25">
      <c r="A4" s="150" t="s">
        <v>52</v>
      </c>
      <c r="B4" s="150"/>
      <c r="C4" s="150"/>
      <c r="D4" s="150"/>
      <c r="E4" s="150"/>
      <c r="F4" s="150"/>
      <c r="G4" s="150"/>
      <c r="H4" s="150"/>
      <c r="I4" s="150" t="s">
        <v>53</v>
      </c>
      <c r="J4" s="150"/>
      <c r="K4" s="150"/>
      <c r="L4" s="150" t="s">
        <v>54</v>
      </c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1" t="s">
        <v>55</v>
      </c>
      <c r="AB4" s="151"/>
      <c r="AC4" s="151"/>
      <c r="AD4" s="151" t="s">
        <v>56</v>
      </c>
      <c r="AE4" s="151"/>
      <c r="AF4" s="151"/>
      <c r="AG4" s="152" t="s">
        <v>57</v>
      </c>
      <c r="AH4" s="152"/>
      <c r="AI4" s="152"/>
      <c r="AJ4" s="155" t="s">
        <v>164</v>
      </c>
      <c r="AK4" s="153" t="s">
        <v>163</v>
      </c>
      <c r="AN4" s="26"/>
    </row>
    <row r="5" spans="1:43" ht="10.15" customHeight="1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1"/>
      <c r="AB5" s="151"/>
      <c r="AC5" s="151"/>
      <c r="AD5" s="151"/>
      <c r="AE5" s="151"/>
      <c r="AF5" s="151"/>
      <c r="AG5" s="152"/>
      <c r="AH5" s="152"/>
      <c r="AI5" s="152"/>
      <c r="AJ5" s="151"/>
      <c r="AK5" s="154"/>
    </row>
    <row r="6" spans="1:43" ht="10.15" customHeight="1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1"/>
      <c r="AB6" s="151"/>
      <c r="AC6" s="151"/>
      <c r="AD6" s="151"/>
      <c r="AE6" s="151"/>
      <c r="AF6" s="151"/>
      <c r="AG6" s="152"/>
      <c r="AH6" s="152"/>
      <c r="AI6" s="152"/>
      <c r="AJ6" s="151"/>
      <c r="AK6" s="154"/>
    </row>
    <row r="7" spans="1:43" ht="14.1" customHeight="1" x14ac:dyDescent="0.25">
      <c r="A7" s="163"/>
      <c r="B7" s="163"/>
      <c r="C7" s="163"/>
      <c r="D7" s="163"/>
      <c r="E7" s="163"/>
      <c r="F7" s="163"/>
      <c r="G7" s="163"/>
      <c r="H7" s="163"/>
      <c r="I7" s="163" t="s">
        <v>58</v>
      </c>
      <c r="J7" s="163"/>
      <c r="K7" s="163"/>
      <c r="L7" s="164" t="s">
        <v>59</v>
      </c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3">
        <v>1.5</v>
      </c>
      <c r="AB7" s="163"/>
      <c r="AC7" s="163"/>
      <c r="AD7" s="163">
        <v>6</v>
      </c>
      <c r="AE7" s="163"/>
      <c r="AF7" s="163"/>
      <c r="AG7" s="163">
        <v>775</v>
      </c>
      <c r="AH7" s="163"/>
      <c r="AI7" s="163"/>
      <c r="AJ7" s="59">
        <f>31.21*AK3</f>
        <v>2184.7000000000003</v>
      </c>
      <c r="AK7" s="67">
        <f>AJ7*0.6</f>
        <v>1310.8200000000002</v>
      </c>
    </row>
    <row r="8" spans="1:43" ht="14.1" customHeight="1" x14ac:dyDescent="0.25">
      <c r="A8" s="163"/>
      <c r="B8" s="163"/>
      <c r="C8" s="163"/>
      <c r="D8" s="163"/>
      <c r="E8" s="163"/>
      <c r="F8" s="163"/>
      <c r="G8" s="163"/>
      <c r="H8" s="163"/>
      <c r="I8" s="163" t="s">
        <v>60</v>
      </c>
      <c r="J8" s="163"/>
      <c r="K8" s="163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3">
        <v>1.62</v>
      </c>
      <c r="AB8" s="163"/>
      <c r="AC8" s="163"/>
      <c r="AD8" s="163">
        <v>6</v>
      </c>
      <c r="AE8" s="163"/>
      <c r="AF8" s="163"/>
      <c r="AG8" s="163">
        <v>807</v>
      </c>
      <c r="AH8" s="163"/>
      <c r="AI8" s="163"/>
      <c r="AJ8" s="59">
        <f>32.53*AK3</f>
        <v>2277.1</v>
      </c>
      <c r="AK8" s="67">
        <f t="shared" ref="AK8:AK52" si="0">AJ8*0.6</f>
        <v>1366.26</v>
      </c>
    </row>
    <row r="9" spans="1:43" ht="14.1" customHeight="1" x14ac:dyDescent="0.25">
      <c r="A9" s="163"/>
      <c r="B9" s="163"/>
      <c r="C9" s="163"/>
      <c r="D9" s="163"/>
      <c r="E9" s="163"/>
      <c r="F9" s="163"/>
      <c r="G9" s="163"/>
      <c r="H9" s="163"/>
      <c r="I9" s="163" t="s">
        <v>61</v>
      </c>
      <c r="J9" s="163"/>
      <c r="K9" s="163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3">
        <v>1.74</v>
      </c>
      <c r="AB9" s="163"/>
      <c r="AC9" s="163"/>
      <c r="AD9" s="163">
        <v>6</v>
      </c>
      <c r="AE9" s="163"/>
      <c r="AF9" s="163"/>
      <c r="AG9" s="163">
        <v>840</v>
      </c>
      <c r="AH9" s="163"/>
      <c r="AI9" s="163"/>
      <c r="AJ9" s="59">
        <f>33.86*AK3</f>
        <v>2370.1999999999998</v>
      </c>
      <c r="AK9" s="67">
        <f t="shared" si="0"/>
        <v>1422.12</v>
      </c>
    </row>
    <row r="10" spans="1:43" ht="14.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 t="s">
        <v>62</v>
      </c>
      <c r="J10" s="163"/>
      <c r="K10" s="163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3">
        <v>1.86</v>
      </c>
      <c r="AB10" s="163"/>
      <c r="AC10" s="163"/>
      <c r="AD10" s="163">
        <v>6</v>
      </c>
      <c r="AE10" s="163"/>
      <c r="AF10" s="163"/>
      <c r="AG10" s="163">
        <v>872</v>
      </c>
      <c r="AH10" s="163"/>
      <c r="AI10" s="163"/>
      <c r="AJ10" s="59">
        <f>35.18*AK3</f>
        <v>2462.6</v>
      </c>
      <c r="AK10" s="67">
        <f t="shared" si="0"/>
        <v>1477.56</v>
      </c>
    </row>
    <row r="11" spans="1:43" ht="14.1" customHeight="1" x14ac:dyDescent="0.25">
      <c r="A11" s="163"/>
      <c r="B11" s="163"/>
      <c r="C11" s="163"/>
      <c r="D11" s="163"/>
      <c r="E11" s="163"/>
      <c r="F11" s="163"/>
      <c r="G11" s="163"/>
      <c r="H11" s="163"/>
      <c r="I11" s="163" t="s">
        <v>63</v>
      </c>
      <c r="J11" s="163"/>
      <c r="K11" s="163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3">
        <v>2.08</v>
      </c>
      <c r="AB11" s="163"/>
      <c r="AC11" s="163"/>
      <c r="AD11" s="163">
        <v>6</v>
      </c>
      <c r="AE11" s="163"/>
      <c r="AF11" s="163"/>
      <c r="AG11" s="163">
        <v>904</v>
      </c>
      <c r="AH11" s="163"/>
      <c r="AI11" s="163"/>
      <c r="AJ11" s="59">
        <f>36.51*AK3</f>
        <v>2555.6999999999998</v>
      </c>
      <c r="AK11" s="67">
        <f t="shared" si="0"/>
        <v>1533.4199999999998</v>
      </c>
    </row>
    <row r="12" spans="1:43" ht="14.1" customHeight="1" x14ac:dyDescent="0.25">
      <c r="A12" s="163"/>
      <c r="B12" s="163"/>
      <c r="C12" s="163"/>
      <c r="D12" s="163"/>
      <c r="E12" s="163"/>
      <c r="F12" s="163"/>
      <c r="G12" s="163"/>
      <c r="H12" s="163"/>
      <c r="I12" s="163" t="s">
        <v>64</v>
      </c>
      <c r="J12" s="163"/>
      <c r="K12" s="163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3">
        <v>2.2000000000000002</v>
      </c>
      <c r="AB12" s="163"/>
      <c r="AC12" s="163"/>
      <c r="AD12" s="163">
        <v>6</v>
      </c>
      <c r="AE12" s="163"/>
      <c r="AF12" s="163"/>
      <c r="AG12" s="163">
        <v>936</v>
      </c>
      <c r="AH12" s="163"/>
      <c r="AI12" s="163"/>
      <c r="AJ12" s="59">
        <f>37.83*AK3</f>
        <v>2648.1</v>
      </c>
      <c r="AK12" s="67">
        <f t="shared" si="0"/>
        <v>1588.86</v>
      </c>
    </row>
    <row r="13" spans="1:43" ht="13.9" customHeight="1" x14ac:dyDescent="0.25">
      <c r="A13" s="163"/>
      <c r="B13" s="163"/>
      <c r="C13" s="163"/>
      <c r="D13" s="163"/>
      <c r="E13" s="163"/>
      <c r="F13" s="163"/>
      <c r="G13" s="163"/>
      <c r="H13" s="163"/>
      <c r="I13" s="163" t="s">
        <v>65</v>
      </c>
      <c r="J13" s="163"/>
      <c r="K13" s="16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3">
        <v>2.3199999999999998</v>
      </c>
      <c r="AB13" s="163"/>
      <c r="AC13" s="163"/>
      <c r="AD13" s="163">
        <v>6</v>
      </c>
      <c r="AE13" s="163"/>
      <c r="AF13" s="163"/>
      <c r="AG13" s="163">
        <v>969</v>
      </c>
      <c r="AH13" s="163"/>
      <c r="AI13" s="163"/>
      <c r="AJ13" s="59">
        <f>39.16*AK3</f>
        <v>2741.2</v>
      </c>
      <c r="AK13" s="67">
        <f t="shared" si="0"/>
        <v>1644.7199999999998</v>
      </c>
      <c r="AL13" s="27"/>
      <c r="AM13" s="27"/>
      <c r="AN13" s="27"/>
      <c r="AO13" s="27"/>
      <c r="AP13" s="27"/>
      <c r="AQ13" s="27"/>
    </row>
    <row r="14" spans="1:43" ht="15" customHeight="1" x14ac:dyDescent="0.25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3"/>
      <c r="AB14" s="163"/>
      <c r="AC14" s="163"/>
      <c r="AD14" s="163"/>
      <c r="AE14" s="163"/>
      <c r="AF14" s="163"/>
      <c r="AG14" s="163"/>
      <c r="AH14" s="163"/>
      <c r="AI14" s="163"/>
      <c r="AJ14" s="59"/>
      <c r="AK14" s="67"/>
      <c r="AL14" s="27"/>
      <c r="AM14" s="27"/>
      <c r="AN14" s="27"/>
      <c r="AO14" s="27"/>
      <c r="AP14" s="27"/>
      <c r="AQ14" s="27"/>
    </row>
    <row r="15" spans="1:43" ht="14.1" customHeight="1" x14ac:dyDescent="0.25">
      <c r="A15" s="163"/>
      <c r="B15" s="163"/>
      <c r="C15" s="163"/>
      <c r="D15" s="163"/>
      <c r="E15" s="163"/>
      <c r="F15" s="163"/>
      <c r="G15" s="163"/>
      <c r="H15" s="163"/>
      <c r="I15" s="163" t="s">
        <v>66</v>
      </c>
      <c r="J15" s="163"/>
      <c r="K15" s="163"/>
      <c r="L15" s="164" t="s">
        <v>67</v>
      </c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3">
        <v>1.27</v>
      </c>
      <c r="AB15" s="163"/>
      <c r="AC15" s="163"/>
      <c r="AD15" s="163">
        <v>6</v>
      </c>
      <c r="AE15" s="163"/>
      <c r="AF15" s="163"/>
      <c r="AG15" s="163">
        <v>559</v>
      </c>
      <c r="AH15" s="163"/>
      <c r="AI15" s="163"/>
      <c r="AJ15" s="59">
        <f>20.67*AK3</f>
        <v>1446.9</v>
      </c>
      <c r="AK15" s="67">
        <f t="shared" si="0"/>
        <v>868.14</v>
      </c>
      <c r="AL15" s="27"/>
      <c r="AM15" s="27"/>
      <c r="AN15" s="27"/>
      <c r="AO15" s="27"/>
      <c r="AP15" s="27"/>
      <c r="AQ15" s="27"/>
    </row>
    <row r="16" spans="1:43" ht="14.1" customHeight="1" x14ac:dyDescent="0.25">
      <c r="A16" s="163"/>
      <c r="B16" s="163"/>
      <c r="C16" s="163"/>
      <c r="D16" s="163"/>
      <c r="E16" s="163"/>
      <c r="F16" s="163"/>
      <c r="G16" s="163"/>
      <c r="H16" s="163"/>
      <c r="I16" s="163" t="s">
        <v>68</v>
      </c>
      <c r="J16" s="163"/>
      <c r="K16" s="163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3">
        <v>1.46</v>
      </c>
      <c r="AB16" s="163"/>
      <c r="AC16" s="163"/>
      <c r="AD16" s="163">
        <v>6</v>
      </c>
      <c r="AE16" s="163"/>
      <c r="AF16" s="163"/>
      <c r="AG16" s="163">
        <v>581</v>
      </c>
      <c r="AH16" s="163"/>
      <c r="AI16" s="163"/>
      <c r="AJ16" s="59">
        <f>21.46*AK3</f>
        <v>1502.2</v>
      </c>
      <c r="AK16" s="67">
        <f t="shared" si="0"/>
        <v>901.32</v>
      </c>
      <c r="AL16" s="27"/>
      <c r="AM16" s="27"/>
      <c r="AN16" s="27"/>
      <c r="AO16" s="27"/>
      <c r="AP16" s="27"/>
      <c r="AQ16" s="27"/>
    </row>
    <row r="17" spans="1:43" ht="14.1" customHeight="1" x14ac:dyDescent="0.25">
      <c r="A17" s="163"/>
      <c r="B17" s="163"/>
      <c r="C17" s="163"/>
      <c r="D17" s="163"/>
      <c r="E17" s="163"/>
      <c r="F17" s="163"/>
      <c r="G17" s="163"/>
      <c r="H17" s="163"/>
      <c r="I17" s="163" t="s">
        <v>69</v>
      </c>
      <c r="J17" s="163"/>
      <c r="K17" s="163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3">
        <v>1.74</v>
      </c>
      <c r="AB17" s="163"/>
      <c r="AC17" s="163"/>
      <c r="AD17" s="163">
        <v>6</v>
      </c>
      <c r="AE17" s="163"/>
      <c r="AF17" s="163"/>
      <c r="AG17" s="163">
        <v>609</v>
      </c>
      <c r="AH17" s="163"/>
      <c r="AI17" s="163"/>
      <c r="AJ17" s="44">
        <f>22.46*AK3</f>
        <v>1572.2</v>
      </c>
      <c r="AK17" s="67">
        <f t="shared" si="0"/>
        <v>943.31999999999994</v>
      </c>
      <c r="AL17" s="27"/>
      <c r="AM17" s="27"/>
      <c r="AN17" s="27"/>
      <c r="AO17" s="27"/>
      <c r="AP17" s="27"/>
      <c r="AQ17" s="27"/>
    </row>
    <row r="18" spans="1:43" ht="14.1" customHeight="1" x14ac:dyDescent="0.25">
      <c r="A18" s="163"/>
      <c r="B18" s="163"/>
      <c r="C18" s="163"/>
      <c r="D18" s="163"/>
      <c r="E18" s="163"/>
      <c r="F18" s="163"/>
      <c r="G18" s="163"/>
      <c r="H18" s="163"/>
      <c r="I18" s="163" t="s">
        <v>70</v>
      </c>
      <c r="J18" s="163"/>
      <c r="K18" s="163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3">
        <v>1.86</v>
      </c>
      <c r="AB18" s="163"/>
      <c r="AC18" s="163"/>
      <c r="AD18" s="163">
        <v>6</v>
      </c>
      <c r="AE18" s="163"/>
      <c r="AF18" s="163"/>
      <c r="AG18" s="163">
        <v>624</v>
      </c>
      <c r="AH18" s="163"/>
      <c r="AI18" s="163"/>
      <c r="AJ18" s="59">
        <f>23.05*AK3</f>
        <v>1613.5</v>
      </c>
      <c r="AK18" s="67">
        <f t="shared" si="0"/>
        <v>968.09999999999991</v>
      </c>
      <c r="AL18" s="27"/>
      <c r="AM18" s="27"/>
      <c r="AN18" s="27"/>
      <c r="AO18" s="27"/>
      <c r="AP18" s="27"/>
      <c r="AQ18" s="27"/>
    </row>
    <row r="19" spans="1:43" ht="14.1" customHeight="1" x14ac:dyDescent="0.25">
      <c r="A19" s="163"/>
      <c r="B19" s="163"/>
      <c r="C19" s="163"/>
      <c r="D19" s="163"/>
      <c r="E19" s="163"/>
      <c r="F19" s="163"/>
      <c r="G19" s="163"/>
      <c r="H19" s="163"/>
      <c r="I19" s="163" t="s">
        <v>71</v>
      </c>
      <c r="J19" s="163"/>
      <c r="K19" s="163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3">
        <v>2.08</v>
      </c>
      <c r="AB19" s="163"/>
      <c r="AC19" s="163"/>
      <c r="AD19" s="163">
        <v>6</v>
      </c>
      <c r="AE19" s="163"/>
      <c r="AF19" s="163"/>
      <c r="AG19" s="163">
        <v>646</v>
      </c>
      <c r="AH19" s="163"/>
      <c r="AI19" s="163"/>
      <c r="AJ19" s="44">
        <f>23.85*AK3</f>
        <v>1669.5</v>
      </c>
      <c r="AK19" s="67">
        <f t="shared" si="0"/>
        <v>1001.6999999999999</v>
      </c>
      <c r="AL19" s="27"/>
      <c r="AM19" s="27"/>
      <c r="AN19" s="27"/>
      <c r="AO19" s="27"/>
      <c r="AP19" s="27"/>
      <c r="AQ19" s="27"/>
    </row>
    <row r="20" spans="1:43" ht="14.1" customHeight="1" x14ac:dyDescent="0.25">
      <c r="A20" s="163"/>
      <c r="B20" s="163"/>
      <c r="C20" s="163"/>
      <c r="D20" s="163"/>
      <c r="E20" s="163"/>
      <c r="F20" s="163"/>
      <c r="G20" s="163"/>
      <c r="H20" s="163"/>
      <c r="I20" s="163" t="s">
        <v>72</v>
      </c>
      <c r="J20" s="163"/>
      <c r="K20" s="163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3">
        <v>2.2000000000000002</v>
      </c>
      <c r="AB20" s="163"/>
      <c r="AC20" s="163"/>
      <c r="AD20" s="163">
        <v>6</v>
      </c>
      <c r="AE20" s="163"/>
      <c r="AF20" s="163"/>
      <c r="AG20" s="163">
        <v>667</v>
      </c>
      <c r="AH20" s="163"/>
      <c r="AI20" s="163"/>
      <c r="AJ20" s="44">
        <f>24.64*AK3</f>
        <v>1724.8</v>
      </c>
      <c r="AK20" s="67">
        <f t="shared" si="0"/>
        <v>1034.8799999999999</v>
      </c>
      <c r="AL20" s="27"/>
      <c r="AM20" s="27"/>
      <c r="AN20" s="27"/>
      <c r="AO20" s="27"/>
      <c r="AP20" s="27"/>
      <c r="AQ20" s="27"/>
    </row>
    <row r="21" spans="1:43" ht="14.1" customHeight="1" x14ac:dyDescent="0.25">
      <c r="A21" s="163"/>
      <c r="B21" s="163"/>
      <c r="C21" s="163"/>
      <c r="D21" s="163"/>
      <c r="E21" s="163"/>
      <c r="F21" s="163"/>
      <c r="G21" s="163"/>
      <c r="H21" s="163"/>
      <c r="I21" s="163" t="s">
        <v>73</v>
      </c>
      <c r="J21" s="163"/>
      <c r="K21" s="163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3">
        <v>2.4</v>
      </c>
      <c r="AB21" s="163"/>
      <c r="AC21" s="163"/>
      <c r="AD21" s="163">
        <v>6</v>
      </c>
      <c r="AE21" s="163"/>
      <c r="AF21" s="163"/>
      <c r="AG21" s="163">
        <v>689</v>
      </c>
      <c r="AH21" s="163"/>
      <c r="AI21" s="163"/>
      <c r="AJ21" s="59">
        <f>25.44*AK3</f>
        <v>1780.8000000000002</v>
      </c>
      <c r="AK21" s="67">
        <f t="shared" si="0"/>
        <v>1068.48</v>
      </c>
      <c r="AL21" s="27"/>
      <c r="AM21" s="27"/>
      <c r="AN21" s="27"/>
      <c r="AO21" s="27"/>
      <c r="AP21" s="27"/>
      <c r="AQ21" s="27"/>
    </row>
    <row r="22" spans="1:43" ht="30.75" customHeight="1" x14ac:dyDescent="0.25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3"/>
      <c r="AB22" s="163"/>
      <c r="AC22" s="163"/>
      <c r="AD22" s="163"/>
      <c r="AE22" s="163"/>
      <c r="AF22" s="163"/>
      <c r="AG22" s="163"/>
      <c r="AH22" s="163"/>
      <c r="AI22" s="163"/>
      <c r="AJ22" s="59"/>
      <c r="AK22" s="67"/>
      <c r="AL22" s="27"/>
      <c r="AM22" s="27"/>
      <c r="AN22" s="27"/>
      <c r="AO22" s="27"/>
      <c r="AP22" s="27"/>
      <c r="AQ22" s="27"/>
    </row>
    <row r="23" spans="1:43" ht="14.1" customHeight="1" x14ac:dyDescent="0.25">
      <c r="A23" s="163"/>
      <c r="B23" s="163"/>
      <c r="C23" s="163"/>
      <c r="D23" s="163"/>
      <c r="E23" s="163"/>
      <c r="F23" s="163"/>
      <c r="G23" s="163"/>
      <c r="H23" s="163"/>
      <c r="I23" s="163" t="s">
        <v>74</v>
      </c>
      <c r="J23" s="163"/>
      <c r="K23" s="163"/>
      <c r="L23" s="164" t="s">
        <v>75</v>
      </c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3">
        <v>1.5</v>
      </c>
      <c r="AB23" s="163"/>
      <c r="AC23" s="163"/>
      <c r="AD23" s="163">
        <v>6</v>
      </c>
      <c r="AE23" s="163"/>
      <c r="AF23" s="163"/>
      <c r="AG23" s="163">
        <v>775</v>
      </c>
      <c r="AH23" s="163"/>
      <c r="AI23" s="163"/>
      <c r="AJ23" s="59">
        <f>70.16*AK3</f>
        <v>4911.2</v>
      </c>
      <c r="AK23" s="67">
        <f t="shared" si="0"/>
        <v>2946.72</v>
      </c>
      <c r="AL23" s="27"/>
      <c r="AM23" s="27"/>
      <c r="AN23" s="27"/>
      <c r="AO23" s="27"/>
      <c r="AP23" s="27"/>
      <c r="AQ23" s="27"/>
    </row>
    <row r="24" spans="1:43" ht="14.1" customHeight="1" x14ac:dyDescent="0.25">
      <c r="A24" s="163"/>
      <c r="B24" s="163"/>
      <c r="C24" s="163"/>
      <c r="D24" s="163"/>
      <c r="E24" s="163"/>
      <c r="F24" s="163"/>
      <c r="G24" s="163"/>
      <c r="H24" s="163"/>
      <c r="I24" s="163" t="s">
        <v>76</v>
      </c>
      <c r="J24" s="163"/>
      <c r="K24" s="163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3">
        <v>1.62</v>
      </c>
      <c r="AB24" s="163"/>
      <c r="AC24" s="163"/>
      <c r="AD24" s="163">
        <v>6</v>
      </c>
      <c r="AE24" s="163"/>
      <c r="AF24" s="163"/>
      <c r="AG24" s="163">
        <v>807</v>
      </c>
      <c r="AH24" s="163"/>
      <c r="AI24" s="163"/>
      <c r="AJ24" s="59">
        <f>73.01*AK3</f>
        <v>5110.7000000000007</v>
      </c>
      <c r="AK24" s="67">
        <f t="shared" si="0"/>
        <v>3066.4200000000005</v>
      </c>
      <c r="AL24" s="27"/>
      <c r="AM24" s="27"/>
      <c r="AN24" s="27"/>
      <c r="AO24" s="27"/>
      <c r="AP24" s="27"/>
      <c r="AQ24" s="27"/>
    </row>
    <row r="25" spans="1:43" ht="14.1" customHeight="1" x14ac:dyDescent="0.25">
      <c r="A25" s="163"/>
      <c r="B25" s="163"/>
      <c r="C25" s="163"/>
      <c r="D25" s="163"/>
      <c r="E25" s="163"/>
      <c r="F25" s="163"/>
      <c r="G25" s="163"/>
      <c r="H25" s="163"/>
      <c r="I25" s="163" t="s">
        <v>77</v>
      </c>
      <c r="J25" s="163"/>
      <c r="K25" s="163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3">
        <v>1.74</v>
      </c>
      <c r="AB25" s="163"/>
      <c r="AC25" s="163"/>
      <c r="AD25" s="163">
        <v>6</v>
      </c>
      <c r="AE25" s="163"/>
      <c r="AF25" s="163"/>
      <c r="AG25" s="163">
        <v>840</v>
      </c>
      <c r="AH25" s="163"/>
      <c r="AI25" s="163"/>
      <c r="AJ25" s="59">
        <f>75.87*AK3</f>
        <v>5310.9000000000005</v>
      </c>
      <c r="AK25" s="67">
        <f t="shared" si="0"/>
        <v>3186.5400000000004</v>
      </c>
      <c r="AL25" s="27"/>
      <c r="AM25" s="27"/>
      <c r="AN25" s="27"/>
      <c r="AO25" s="27"/>
      <c r="AP25" s="27"/>
      <c r="AQ25" s="27"/>
    </row>
    <row r="26" spans="1:43" ht="14.1" customHeight="1" x14ac:dyDescent="0.25">
      <c r="A26" s="163"/>
      <c r="B26" s="163"/>
      <c r="C26" s="163"/>
      <c r="D26" s="163"/>
      <c r="E26" s="163"/>
      <c r="F26" s="163"/>
      <c r="G26" s="163"/>
      <c r="H26" s="163"/>
      <c r="I26" s="163" t="s">
        <v>78</v>
      </c>
      <c r="J26" s="163"/>
      <c r="K26" s="163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3">
        <v>1.86</v>
      </c>
      <c r="AB26" s="163"/>
      <c r="AC26" s="163"/>
      <c r="AD26" s="163">
        <v>6</v>
      </c>
      <c r="AE26" s="163"/>
      <c r="AF26" s="163"/>
      <c r="AG26" s="163">
        <v>872</v>
      </c>
      <c r="AH26" s="163"/>
      <c r="AI26" s="163"/>
      <c r="AJ26" s="59">
        <f>78.72*AK3</f>
        <v>5510.4</v>
      </c>
      <c r="AK26" s="67">
        <f t="shared" si="0"/>
        <v>3306.24</v>
      </c>
      <c r="AL26" s="27"/>
      <c r="AM26" s="27"/>
      <c r="AN26" s="27"/>
      <c r="AO26" s="27"/>
      <c r="AP26" s="27"/>
      <c r="AQ26" s="27"/>
    </row>
    <row r="27" spans="1:43" ht="14.1" customHeight="1" x14ac:dyDescent="0.25">
      <c r="A27" s="163"/>
      <c r="B27" s="163"/>
      <c r="C27" s="163"/>
      <c r="D27" s="163"/>
      <c r="E27" s="163"/>
      <c r="F27" s="163"/>
      <c r="G27" s="163"/>
      <c r="H27" s="163"/>
      <c r="I27" s="163" t="s">
        <v>79</v>
      </c>
      <c r="J27" s="163"/>
      <c r="K27" s="163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3">
        <v>2.08</v>
      </c>
      <c r="AB27" s="163"/>
      <c r="AC27" s="163"/>
      <c r="AD27" s="163">
        <v>6</v>
      </c>
      <c r="AE27" s="163"/>
      <c r="AF27" s="163"/>
      <c r="AG27" s="163">
        <v>904</v>
      </c>
      <c r="AH27" s="163"/>
      <c r="AI27" s="163"/>
      <c r="AJ27" s="59">
        <f>81.58*AK3</f>
        <v>5710.5999999999995</v>
      </c>
      <c r="AK27" s="67">
        <f t="shared" si="0"/>
        <v>3426.3599999999997</v>
      </c>
      <c r="AL27" s="27"/>
      <c r="AM27" s="27"/>
      <c r="AN27" s="27"/>
      <c r="AO27" s="27"/>
      <c r="AP27" s="27"/>
      <c r="AQ27" s="27"/>
    </row>
    <row r="28" spans="1:43" ht="14.1" customHeight="1" x14ac:dyDescent="0.25">
      <c r="A28" s="163"/>
      <c r="B28" s="163"/>
      <c r="C28" s="163"/>
      <c r="D28" s="163"/>
      <c r="E28" s="163"/>
      <c r="F28" s="163"/>
      <c r="G28" s="163"/>
      <c r="H28" s="163"/>
      <c r="I28" s="163" t="s">
        <v>80</v>
      </c>
      <c r="J28" s="163"/>
      <c r="K28" s="163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3">
        <v>2.2000000000000002</v>
      </c>
      <c r="AB28" s="163"/>
      <c r="AC28" s="163"/>
      <c r="AD28" s="163">
        <v>6</v>
      </c>
      <c r="AE28" s="163"/>
      <c r="AF28" s="163"/>
      <c r="AG28" s="163">
        <v>936</v>
      </c>
      <c r="AH28" s="163"/>
      <c r="AI28" s="163"/>
      <c r="AJ28" s="59">
        <f>84.43*AK3</f>
        <v>5910.1</v>
      </c>
      <c r="AK28" s="67">
        <f t="shared" si="0"/>
        <v>3546.06</v>
      </c>
      <c r="AL28" s="27"/>
      <c r="AM28" s="27"/>
      <c r="AN28" s="27"/>
      <c r="AO28" s="27"/>
      <c r="AP28" s="27"/>
      <c r="AQ28" s="27"/>
    </row>
    <row r="29" spans="1:43" ht="14.1" customHeight="1" x14ac:dyDescent="0.25">
      <c r="A29" s="163"/>
      <c r="B29" s="163"/>
      <c r="C29" s="163"/>
      <c r="D29" s="163"/>
      <c r="E29" s="163"/>
      <c r="F29" s="163"/>
      <c r="G29" s="163"/>
      <c r="H29" s="163"/>
      <c r="I29" s="163" t="s">
        <v>81</v>
      </c>
      <c r="J29" s="163"/>
      <c r="K29" s="163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3">
        <v>2.3199999999999998</v>
      </c>
      <c r="AB29" s="163"/>
      <c r="AC29" s="163"/>
      <c r="AD29" s="163">
        <v>6</v>
      </c>
      <c r="AE29" s="163"/>
      <c r="AF29" s="163"/>
      <c r="AG29" s="163">
        <v>969</v>
      </c>
      <c r="AH29" s="163"/>
      <c r="AI29" s="163"/>
      <c r="AJ29" s="59">
        <f>87.32*AK3</f>
        <v>6112.4</v>
      </c>
      <c r="AK29" s="67">
        <f t="shared" si="0"/>
        <v>3667.4399999999996</v>
      </c>
      <c r="AL29" s="27"/>
      <c r="AM29" s="27"/>
      <c r="AN29" s="27"/>
      <c r="AO29" s="27"/>
      <c r="AP29" s="27"/>
      <c r="AQ29" s="27"/>
    </row>
    <row r="30" spans="1:43" ht="15" customHeight="1" x14ac:dyDescent="0.25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3"/>
      <c r="AB30" s="163"/>
      <c r="AC30" s="163"/>
      <c r="AD30" s="163"/>
      <c r="AE30" s="163"/>
      <c r="AF30" s="163"/>
      <c r="AG30" s="163"/>
      <c r="AH30" s="163"/>
      <c r="AI30" s="163"/>
      <c r="AJ30" s="59"/>
      <c r="AK30" s="67"/>
      <c r="AL30" s="27"/>
      <c r="AM30" s="27"/>
      <c r="AN30" s="27"/>
      <c r="AO30" s="27"/>
      <c r="AP30" s="27"/>
      <c r="AQ30" s="27"/>
    </row>
    <row r="31" spans="1:43" ht="14.1" customHeight="1" x14ac:dyDescent="0.25">
      <c r="A31" s="163"/>
      <c r="B31" s="163"/>
      <c r="C31" s="163"/>
      <c r="D31" s="163"/>
      <c r="E31" s="163"/>
      <c r="F31" s="163"/>
      <c r="G31" s="163"/>
      <c r="H31" s="163"/>
      <c r="I31" s="163" t="s">
        <v>82</v>
      </c>
      <c r="J31" s="163"/>
      <c r="K31" s="163"/>
      <c r="L31" s="164" t="s">
        <v>83</v>
      </c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3">
        <v>0.93200000000000005</v>
      </c>
      <c r="AB31" s="163"/>
      <c r="AC31" s="163"/>
      <c r="AD31" s="163">
        <v>10</v>
      </c>
      <c r="AE31" s="163"/>
      <c r="AF31" s="163"/>
      <c r="AG31" s="163">
        <v>431</v>
      </c>
      <c r="AH31" s="163"/>
      <c r="AI31" s="163"/>
      <c r="AJ31" s="59">
        <f>15.9*AK3</f>
        <v>1113</v>
      </c>
      <c r="AK31" s="67">
        <f t="shared" si="0"/>
        <v>667.8</v>
      </c>
      <c r="AL31" s="27"/>
      <c r="AM31" s="27"/>
      <c r="AN31" s="27"/>
      <c r="AO31" s="27"/>
      <c r="AP31" s="27"/>
      <c r="AQ31" s="27"/>
    </row>
    <row r="32" spans="1:43" ht="14.1" customHeight="1" x14ac:dyDescent="0.25">
      <c r="A32" s="163"/>
      <c r="B32" s="163"/>
      <c r="C32" s="163"/>
      <c r="D32" s="163"/>
      <c r="E32" s="163"/>
      <c r="F32" s="163"/>
      <c r="G32" s="163"/>
      <c r="H32" s="163"/>
      <c r="I32" s="163" t="s">
        <v>84</v>
      </c>
      <c r="J32" s="163"/>
      <c r="K32" s="163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3">
        <v>1.089</v>
      </c>
      <c r="AB32" s="163"/>
      <c r="AC32" s="163"/>
      <c r="AD32" s="163">
        <v>10</v>
      </c>
      <c r="AE32" s="163"/>
      <c r="AF32" s="163"/>
      <c r="AG32" s="163">
        <v>452</v>
      </c>
      <c r="AH32" s="163"/>
      <c r="AI32" s="163"/>
      <c r="AJ32" s="59">
        <f>16.69*AK3</f>
        <v>1168.3000000000002</v>
      </c>
      <c r="AK32" s="67">
        <f t="shared" si="0"/>
        <v>700.98000000000013</v>
      </c>
      <c r="AL32" s="27"/>
      <c r="AM32" s="27"/>
      <c r="AN32" s="27"/>
      <c r="AO32" s="27"/>
      <c r="AP32" s="27"/>
      <c r="AQ32" s="27"/>
    </row>
    <row r="33" spans="1:43" ht="14.1" customHeight="1" x14ac:dyDescent="0.25">
      <c r="A33" s="163"/>
      <c r="B33" s="163"/>
      <c r="C33" s="163"/>
      <c r="D33" s="163"/>
      <c r="E33" s="163"/>
      <c r="F33" s="163"/>
      <c r="G33" s="163"/>
      <c r="H33" s="163"/>
      <c r="I33" s="163" t="s">
        <v>85</v>
      </c>
      <c r="J33" s="163"/>
      <c r="K33" s="163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3">
        <v>1.2609999999999999</v>
      </c>
      <c r="AB33" s="163"/>
      <c r="AC33" s="163"/>
      <c r="AD33" s="163">
        <v>10</v>
      </c>
      <c r="AE33" s="163"/>
      <c r="AF33" s="163"/>
      <c r="AG33" s="163">
        <v>474</v>
      </c>
      <c r="AH33" s="163"/>
      <c r="AI33" s="163"/>
      <c r="AJ33" s="59">
        <f>17.49*AK3</f>
        <v>1224.3</v>
      </c>
      <c r="AK33" s="67">
        <f t="shared" si="0"/>
        <v>734.57999999999993</v>
      </c>
      <c r="AL33" s="27"/>
      <c r="AM33" s="27"/>
      <c r="AN33" s="27"/>
      <c r="AO33" s="27"/>
      <c r="AP33" s="27"/>
      <c r="AQ33" s="27"/>
    </row>
    <row r="34" spans="1:43" ht="14.1" customHeight="1" x14ac:dyDescent="0.25">
      <c r="A34" s="163"/>
      <c r="B34" s="163"/>
      <c r="C34" s="163"/>
      <c r="D34" s="163"/>
      <c r="E34" s="163"/>
      <c r="F34" s="163"/>
      <c r="G34" s="163"/>
      <c r="H34" s="163"/>
      <c r="I34" s="163" t="s">
        <v>86</v>
      </c>
      <c r="J34" s="163"/>
      <c r="K34" s="163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3">
        <v>1.4179999999999999</v>
      </c>
      <c r="AB34" s="163"/>
      <c r="AC34" s="163"/>
      <c r="AD34" s="163">
        <v>10</v>
      </c>
      <c r="AE34" s="163"/>
      <c r="AF34" s="163"/>
      <c r="AG34" s="163">
        <v>495</v>
      </c>
      <c r="AH34" s="163"/>
      <c r="AI34" s="163"/>
      <c r="AJ34" s="59">
        <f>18.28*AK3</f>
        <v>1279.6000000000001</v>
      </c>
      <c r="AK34" s="67">
        <f t="shared" si="0"/>
        <v>767.7600000000001</v>
      </c>
      <c r="AL34" s="27"/>
      <c r="AM34" s="27"/>
      <c r="AN34" s="27"/>
      <c r="AO34" s="27"/>
      <c r="AP34" s="27"/>
      <c r="AQ34" s="27"/>
    </row>
    <row r="35" spans="1:43" ht="14.1" customHeight="1" x14ac:dyDescent="0.25">
      <c r="A35" s="163"/>
      <c r="B35" s="163"/>
      <c r="C35" s="163"/>
      <c r="D35" s="163"/>
      <c r="E35" s="163"/>
      <c r="F35" s="163"/>
      <c r="G35" s="163"/>
      <c r="H35" s="163"/>
      <c r="I35" s="163" t="s">
        <v>87</v>
      </c>
      <c r="J35" s="163"/>
      <c r="K35" s="163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3">
        <v>1.5780000000000001</v>
      </c>
      <c r="AB35" s="163"/>
      <c r="AC35" s="163"/>
      <c r="AD35" s="163">
        <v>10</v>
      </c>
      <c r="AE35" s="163"/>
      <c r="AF35" s="163"/>
      <c r="AG35" s="163">
        <v>517</v>
      </c>
      <c r="AH35" s="163"/>
      <c r="AI35" s="163"/>
      <c r="AJ35" s="59">
        <f>19.08*AK3</f>
        <v>1335.6</v>
      </c>
      <c r="AK35" s="67">
        <f t="shared" si="0"/>
        <v>801.3599999999999</v>
      </c>
    </row>
    <row r="36" spans="1:43" ht="14.1" customHeight="1" x14ac:dyDescent="0.25">
      <c r="A36" s="163"/>
      <c r="B36" s="163"/>
      <c r="C36" s="163"/>
      <c r="D36" s="163"/>
      <c r="E36" s="163"/>
      <c r="F36" s="163"/>
      <c r="G36" s="163"/>
      <c r="H36" s="163"/>
      <c r="I36" s="163" t="s">
        <v>88</v>
      </c>
      <c r="J36" s="163"/>
      <c r="K36" s="163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3">
        <v>1.7470000000000001</v>
      </c>
      <c r="AB36" s="163"/>
      <c r="AC36" s="163"/>
      <c r="AD36" s="163">
        <v>10</v>
      </c>
      <c r="AE36" s="163"/>
      <c r="AF36" s="163"/>
      <c r="AG36" s="163">
        <v>538</v>
      </c>
      <c r="AH36" s="163"/>
      <c r="AI36" s="163"/>
      <c r="AJ36" s="59">
        <f>19.87*AK3</f>
        <v>1390.9</v>
      </c>
      <c r="AK36" s="67">
        <f t="shared" si="0"/>
        <v>834.54000000000008</v>
      </c>
    </row>
    <row r="37" spans="1:43" ht="15.6" customHeight="1" x14ac:dyDescent="0.25">
      <c r="A37" s="163"/>
      <c r="B37" s="163"/>
      <c r="C37" s="163"/>
      <c r="D37" s="163"/>
      <c r="E37" s="163"/>
      <c r="F37" s="163"/>
      <c r="G37" s="163"/>
      <c r="H37" s="163"/>
      <c r="I37" s="150" t="s">
        <v>89</v>
      </c>
      <c r="J37" s="150"/>
      <c r="K37" s="150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3">
        <v>1.9039999999999999</v>
      </c>
      <c r="AB37" s="163"/>
      <c r="AC37" s="163"/>
      <c r="AD37" s="163">
        <v>10</v>
      </c>
      <c r="AE37" s="163"/>
      <c r="AF37" s="163"/>
      <c r="AG37" s="163">
        <v>560</v>
      </c>
      <c r="AH37" s="163"/>
      <c r="AI37" s="163"/>
      <c r="AJ37" s="59">
        <f>20.67*AK3</f>
        <v>1446.9</v>
      </c>
      <c r="AK37" s="67">
        <f t="shared" si="0"/>
        <v>868.14</v>
      </c>
      <c r="AM37" s="43"/>
    </row>
    <row r="38" spans="1:43" ht="14.1" customHeight="1" x14ac:dyDescent="0.25">
      <c r="A38" s="163"/>
      <c r="B38" s="163"/>
      <c r="C38" s="163"/>
      <c r="D38" s="163"/>
      <c r="E38" s="163"/>
      <c r="F38" s="163"/>
      <c r="G38" s="163"/>
      <c r="H38" s="163"/>
      <c r="I38" s="163" t="s">
        <v>90</v>
      </c>
      <c r="J38" s="163"/>
      <c r="K38" s="163"/>
      <c r="L38" s="164" t="s">
        <v>91</v>
      </c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3">
        <v>0.873</v>
      </c>
      <c r="AB38" s="163"/>
      <c r="AC38" s="163"/>
      <c r="AD38" s="163">
        <v>15</v>
      </c>
      <c r="AE38" s="163"/>
      <c r="AF38" s="163"/>
      <c r="AG38" s="163">
        <v>352</v>
      </c>
      <c r="AH38" s="163"/>
      <c r="AI38" s="163"/>
      <c r="AJ38" s="59">
        <f>12.98*AK3</f>
        <v>908.6</v>
      </c>
      <c r="AK38" s="67">
        <f t="shared" si="0"/>
        <v>545.16</v>
      </c>
    </row>
    <row r="39" spans="1:43" ht="14.1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 t="s">
        <v>92</v>
      </c>
      <c r="J39" s="163"/>
      <c r="K39" s="163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3">
        <v>1.0349999999999999</v>
      </c>
      <c r="AB39" s="163"/>
      <c r="AC39" s="163"/>
      <c r="AD39" s="163">
        <v>15</v>
      </c>
      <c r="AE39" s="163"/>
      <c r="AF39" s="163"/>
      <c r="AG39" s="163">
        <v>366</v>
      </c>
      <c r="AH39" s="163"/>
      <c r="AI39" s="163"/>
      <c r="AJ39" s="59">
        <f>13.51*AK3</f>
        <v>945.69999999999993</v>
      </c>
      <c r="AK39" s="67">
        <f t="shared" si="0"/>
        <v>567.41999999999996</v>
      </c>
    </row>
    <row r="40" spans="1:43" ht="14.1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 t="s">
        <v>93</v>
      </c>
      <c r="J40" s="163"/>
      <c r="K40" s="163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3">
        <v>1.196</v>
      </c>
      <c r="AB40" s="163"/>
      <c r="AC40" s="163"/>
      <c r="AD40" s="163">
        <v>15</v>
      </c>
      <c r="AE40" s="163"/>
      <c r="AF40" s="163"/>
      <c r="AG40" s="163">
        <v>387</v>
      </c>
      <c r="AH40" s="163"/>
      <c r="AI40" s="163"/>
      <c r="AJ40" s="59">
        <f>14.31*AK3</f>
        <v>1001.7</v>
      </c>
      <c r="AK40" s="67">
        <f t="shared" si="0"/>
        <v>601.02</v>
      </c>
    </row>
    <row r="41" spans="1:43" ht="14.1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 t="s">
        <v>94</v>
      </c>
      <c r="J41" s="163"/>
      <c r="K41" s="163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3">
        <v>1.361</v>
      </c>
      <c r="AB41" s="163"/>
      <c r="AC41" s="163"/>
      <c r="AD41" s="163">
        <v>15</v>
      </c>
      <c r="AE41" s="163"/>
      <c r="AF41" s="163"/>
      <c r="AG41" s="163">
        <v>409</v>
      </c>
      <c r="AH41" s="163"/>
      <c r="AI41" s="163"/>
      <c r="AJ41" s="59">
        <f>15.1*AK3</f>
        <v>1057</v>
      </c>
      <c r="AK41" s="67">
        <f t="shared" si="0"/>
        <v>634.19999999999993</v>
      </c>
    </row>
    <row r="42" spans="1:43" ht="14.1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 t="s">
        <v>95</v>
      </c>
      <c r="J42" s="163"/>
      <c r="K42" s="163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3">
        <v>1.518</v>
      </c>
      <c r="AB42" s="163"/>
      <c r="AC42" s="163"/>
      <c r="AD42" s="163">
        <v>15</v>
      </c>
      <c r="AE42" s="163"/>
      <c r="AF42" s="163"/>
      <c r="AG42" s="163">
        <v>431</v>
      </c>
      <c r="AH42" s="163"/>
      <c r="AI42" s="163"/>
      <c r="AJ42" s="59">
        <f>15.9*AK3</f>
        <v>1113</v>
      </c>
      <c r="AK42" s="67">
        <f>AJ42*0.6</f>
        <v>667.8</v>
      </c>
    </row>
    <row r="43" spans="1:43" ht="14.1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 t="s">
        <v>96</v>
      </c>
      <c r="J43" s="163"/>
      <c r="K43" s="163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3">
        <v>1.68</v>
      </c>
      <c r="AB43" s="163"/>
      <c r="AC43" s="163"/>
      <c r="AD43" s="163">
        <v>15</v>
      </c>
      <c r="AE43" s="163"/>
      <c r="AF43" s="163"/>
      <c r="AG43" s="59"/>
      <c r="AH43" s="59"/>
      <c r="AI43" s="59"/>
      <c r="AJ43" s="59">
        <f>16.69*AK3</f>
        <v>1168.3000000000002</v>
      </c>
      <c r="AK43" s="67">
        <f t="shared" si="0"/>
        <v>700.98000000000013</v>
      </c>
    </row>
    <row r="44" spans="1:43" ht="14.2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 t="s">
        <v>97</v>
      </c>
      <c r="J44" s="163"/>
      <c r="K44" s="163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5">
        <v>1.85</v>
      </c>
      <c r="AB44" s="165"/>
      <c r="AC44" s="165"/>
      <c r="AD44" s="163">
        <v>15</v>
      </c>
      <c r="AE44" s="163"/>
      <c r="AF44" s="163"/>
      <c r="AG44" s="163">
        <v>452</v>
      </c>
      <c r="AH44" s="163"/>
      <c r="AI44" s="163"/>
      <c r="AJ44" s="59">
        <f>17.49*AK3</f>
        <v>1224.3</v>
      </c>
      <c r="AK44" s="67">
        <f t="shared" si="0"/>
        <v>734.57999999999993</v>
      </c>
    </row>
    <row r="45" spans="1:43" ht="14.25" hidden="1" customHeight="1" thickBot="1" x14ac:dyDescent="0.3">
      <c r="A45" s="163"/>
      <c r="B45" s="163"/>
      <c r="C45" s="163"/>
      <c r="D45" s="163"/>
      <c r="E45" s="163"/>
      <c r="F45" s="163"/>
      <c r="G45" s="163"/>
      <c r="H45" s="163"/>
      <c r="I45" s="163" t="s">
        <v>97</v>
      </c>
      <c r="J45" s="163"/>
      <c r="K45" s="163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3">
        <v>1.85</v>
      </c>
      <c r="AB45" s="163"/>
      <c r="AC45" s="163"/>
      <c r="AD45" s="163">
        <v>15</v>
      </c>
      <c r="AE45" s="163"/>
      <c r="AF45" s="163"/>
      <c r="AG45" s="163">
        <v>474</v>
      </c>
      <c r="AH45" s="163"/>
      <c r="AI45" s="163"/>
      <c r="AJ45" s="59"/>
      <c r="AK45" s="67">
        <f t="shared" si="0"/>
        <v>0</v>
      </c>
    </row>
    <row r="46" spans="1:43" ht="14.1" customHeight="1" x14ac:dyDescent="0.25">
      <c r="A46" s="163"/>
      <c r="B46" s="163"/>
      <c r="C46" s="163"/>
      <c r="D46" s="163"/>
      <c r="E46" s="163"/>
      <c r="F46" s="163"/>
      <c r="G46" s="163"/>
      <c r="H46" s="163"/>
      <c r="I46" s="163" t="s">
        <v>98</v>
      </c>
      <c r="J46" s="163"/>
      <c r="K46" s="163"/>
      <c r="L46" s="164" t="s">
        <v>99</v>
      </c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3">
        <v>0.76</v>
      </c>
      <c r="AB46" s="163"/>
      <c r="AC46" s="163"/>
      <c r="AD46" s="163">
        <v>16</v>
      </c>
      <c r="AE46" s="163"/>
      <c r="AF46" s="163"/>
      <c r="AG46" s="163">
        <v>316</v>
      </c>
      <c r="AH46" s="163"/>
      <c r="AI46" s="163"/>
      <c r="AJ46" s="59">
        <f>11.66*AK3</f>
        <v>816.2</v>
      </c>
      <c r="AK46" s="67">
        <f t="shared" si="0"/>
        <v>489.72</v>
      </c>
    </row>
    <row r="47" spans="1:43" ht="14.1" customHeight="1" x14ac:dyDescent="0.25">
      <c r="A47" s="163"/>
      <c r="B47" s="163"/>
      <c r="C47" s="163"/>
      <c r="D47" s="163"/>
      <c r="E47" s="163"/>
      <c r="F47" s="163"/>
      <c r="G47" s="163"/>
      <c r="H47" s="163"/>
      <c r="I47" s="163" t="s">
        <v>100</v>
      </c>
      <c r="J47" s="163"/>
      <c r="K47" s="163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3">
        <v>0.84399999999999997</v>
      </c>
      <c r="AB47" s="163"/>
      <c r="AC47" s="163"/>
      <c r="AD47" s="163">
        <v>16</v>
      </c>
      <c r="AE47" s="163"/>
      <c r="AF47" s="163"/>
      <c r="AG47" s="163">
        <v>330</v>
      </c>
      <c r="AH47" s="163"/>
      <c r="AI47" s="163"/>
      <c r="AJ47" s="59">
        <f>12.19*AK3</f>
        <v>853.3</v>
      </c>
      <c r="AK47" s="67">
        <f t="shared" si="0"/>
        <v>511.97999999999996</v>
      </c>
    </row>
    <row r="48" spans="1:43" ht="14.1" customHeight="1" x14ac:dyDescent="0.25">
      <c r="A48" s="163"/>
      <c r="B48" s="163"/>
      <c r="C48" s="163"/>
      <c r="D48" s="163"/>
      <c r="E48" s="163"/>
      <c r="F48" s="163"/>
      <c r="G48" s="163"/>
      <c r="H48" s="163"/>
      <c r="I48" s="163" t="s">
        <v>101</v>
      </c>
      <c r="J48" s="163"/>
      <c r="K48" s="163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3">
        <v>0.93</v>
      </c>
      <c r="AB48" s="163"/>
      <c r="AC48" s="163"/>
      <c r="AD48" s="163">
        <v>16</v>
      </c>
      <c r="AE48" s="163"/>
      <c r="AF48" s="163"/>
      <c r="AG48" s="163">
        <v>348</v>
      </c>
      <c r="AH48" s="163"/>
      <c r="AI48" s="163"/>
      <c r="AJ48" s="59">
        <f>12.87*AK3</f>
        <v>900.9</v>
      </c>
      <c r="AK48" s="67">
        <f t="shared" si="0"/>
        <v>540.54</v>
      </c>
    </row>
    <row r="49" spans="1:37" ht="14.1" customHeight="1" x14ac:dyDescent="0.25">
      <c r="A49" s="163"/>
      <c r="B49" s="163"/>
      <c r="C49" s="163"/>
      <c r="D49" s="163"/>
      <c r="E49" s="163"/>
      <c r="F49" s="163"/>
      <c r="G49" s="163"/>
      <c r="H49" s="163"/>
      <c r="I49" s="163" t="s">
        <v>102</v>
      </c>
      <c r="J49" s="163"/>
      <c r="K49" s="163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3">
        <v>1.016</v>
      </c>
      <c r="AB49" s="163"/>
      <c r="AC49" s="163"/>
      <c r="AD49" s="163">
        <v>16</v>
      </c>
      <c r="AE49" s="163"/>
      <c r="AF49" s="163"/>
      <c r="AG49" s="163">
        <v>366</v>
      </c>
      <c r="AH49" s="163"/>
      <c r="AI49" s="163"/>
      <c r="AJ49" s="59">
        <f>13.51*AK3</f>
        <v>945.69999999999993</v>
      </c>
      <c r="AK49" s="67">
        <f t="shared" si="0"/>
        <v>567.41999999999996</v>
      </c>
    </row>
    <row r="50" spans="1:37" ht="14.1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 t="s">
        <v>103</v>
      </c>
      <c r="J50" s="163"/>
      <c r="K50" s="163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3">
        <v>1.1200000000000001</v>
      </c>
      <c r="AB50" s="163"/>
      <c r="AC50" s="163"/>
      <c r="AD50" s="163">
        <v>16</v>
      </c>
      <c r="AE50" s="163"/>
      <c r="AF50" s="163"/>
      <c r="AG50" s="163">
        <v>384</v>
      </c>
      <c r="AH50" s="163"/>
      <c r="AI50" s="163"/>
      <c r="AJ50" s="59">
        <f>14.19*AK3</f>
        <v>993.3</v>
      </c>
      <c r="AK50" s="67">
        <f t="shared" si="0"/>
        <v>595.9799999999999</v>
      </c>
    </row>
    <row r="51" spans="1:37" ht="14.1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 t="s">
        <v>104</v>
      </c>
      <c r="J51" s="163"/>
      <c r="K51" s="163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3">
        <v>1.45</v>
      </c>
      <c r="AB51" s="163"/>
      <c r="AC51" s="163"/>
      <c r="AD51" s="163">
        <v>16</v>
      </c>
      <c r="AE51" s="163"/>
      <c r="AF51" s="163"/>
      <c r="AG51" s="163">
        <v>402</v>
      </c>
      <c r="AH51" s="163"/>
      <c r="AI51" s="163"/>
      <c r="AJ51" s="59">
        <f>14.84*AK3</f>
        <v>1038.8</v>
      </c>
      <c r="AK51" s="67">
        <f t="shared" si="0"/>
        <v>623.28</v>
      </c>
    </row>
    <row r="52" spans="1:37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 t="s">
        <v>105</v>
      </c>
      <c r="J52" s="163"/>
      <c r="K52" s="163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3">
        <v>1.66</v>
      </c>
      <c r="AB52" s="163"/>
      <c r="AC52" s="163"/>
      <c r="AD52" s="163">
        <v>16</v>
      </c>
      <c r="AE52" s="163"/>
      <c r="AF52" s="163"/>
      <c r="AG52" s="163">
        <v>420</v>
      </c>
      <c r="AH52" s="163"/>
      <c r="AI52" s="163"/>
      <c r="AJ52" s="59">
        <f>15.51*AK3</f>
        <v>1085.7</v>
      </c>
      <c r="AK52" s="67">
        <f t="shared" si="0"/>
        <v>651.41999999999996</v>
      </c>
    </row>
    <row r="53" spans="1:37" ht="12" customHeight="1" x14ac:dyDescent="0.25">
      <c r="A53" s="169" t="s">
        <v>106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8" t="s">
        <v>107</v>
      </c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70"/>
      <c r="AK53" s="68"/>
    </row>
    <row r="54" spans="1:37" ht="12" customHeight="1" x14ac:dyDescent="0.25">
      <c r="A54" s="171" t="s">
        <v>108</v>
      </c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68" t="s">
        <v>109</v>
      </c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7">
        <v>0.1</v>
      </c>
      <c r="AD54" s="167"/>
      <c r="AE54" s="167"/>
      <c r="AF54" s="167"/>
      <c r="AG54" s="167"/>
      <c r="AH54" s="167"/>
      <c r="AI54" s="167"/>
      <c r="AJ54" s="167"/>
      <c r="AK54" s="68"/>
    </row>
    <row r="55" spans="1:37" ht="12" customHeight="1" x14ac:dyDescent="0.25">
      <c r="A55" s="171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68" t="s">
        <v>110</v>
      </c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7">
        <v>0.2</v>
      </c>
      <c r="AD55" s="167"/>
      <c r="AE55" s="167"/>
      <c r="AF55" s="167"/>
      <c r="AG55" s="167"/>
      <c r="AH55" s="167"/>
      <c r="AI55" s="167"/>
      <c r="AJ55" s="167"/>
      <c r="AK55" s="68"/>
    </row>
    <row r="56" spans="1:37" ht="12" customHeight="1" x14ac:dyDescent="0.25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68" t="s">
        <v>111</v>
      </c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7">
        <v>0.25</v>
      </c>
      <c r="AD56" s="167"/>
      <c r="AE56" s="167"/>
      <c r="AF56" s="167"/>
      <c r="AG56" s="167"/>
      <c r="AH56" s="167"/>
      <c r="AI56" s="167"/>
      <c r="AJ56" s="167"/>
      <c r="AK56" s="68"/>
    </row>
    <row r="57" spans="1:37" ht="12" customHeight="1" x14ac:dyDescent="0.2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68" t="s">
        <v>112</v>
      </c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7">
        <v>0.35</v>
      </c>
      <c r="AD57" s="167"/>
      <c r="AE57" s="167"/>
      <c r="AF57" s="167"/>
      <c r="AG57" s="167"/>
      <c r="AH57" s="167"/>
      <c r="AI57" s="167"/>
      <c r="AJ57" s="167"/>
      <c r="AK57" s="68"/>
    </row>
    <row r="58" spans="1:37" ht="12" customHeight="1" x14ac:dyDescent="0.25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68" t="s">
        <v>113</v>
      </c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7">
        <v>0.4</v>
      </c>
      <c r="AD58" s="167"/>
      <c r="AE58" s="167"/>
      <c r="AF58" s="167"/>
      <c r="AG58" s="167"/>
      <c r="AH58" s="167"/>
      <c r="AI58" s="167"/>
      <c r="AJ58" s="167"/>
      <c r="AK58" s="68"/>
    </row>
  </sheetData>
  <mergeCells count="219">
    <mergeCell ref="AD52:AF52"/>
    <mergeCell ref="AG52:AI52"/>
    <mergeCell ref="I49:K49"/>
    <mergeCell ref="AA49:AC49"/>
    <mergeCell ref="AD49:AF49"/>
    <mergeCell ref="AG49:AI49"/>
    <mergeCell ref="I50:K50"/>
    <mergeCell ref="AA50:AC50"/>
    <mergeCell ref="AD50:AF50"/>
    <mergeCell ref="AG50:AI50"/>
    <mergeCell ref="AC57:AJ57"/>
    <mergeCell ref="Q58:AB58"/>
    <mergeCell ref="AC58:AJ58"/>
    <mergeCell ref="A53:P53"/>
    <mergeCell ref="Q53:AJ53"/>
    <mergeCell ref="A54:P58"/>
    <mergeCell ref="Q54:AB54"/>
    <mergeCell ref="AC54:AJ54"/>
    <mergeCell ref="Q55:AB55"/>
    <mergeCell ref="AC55:AJ55"/>
    <mergeCell ref="Q56:AB56"/>
    <mergeCell ref="AC56:AJ56"/>
    <mergeCell ref="Q57:AB57"/>
    <mergeCell ref="I45:K45"/>
    <mergeCell ref="AA45:AC45"/>
    <mergeCell ref="AD45:AF45"/>
    <mergeCell ref="AG45:AI45"/>
    <mergeCell ref="A46:H52"/>
    <mergeCell ref="I46:K46"/>
    <mergeCell ref="L46:Z52"/>
    <mergeCell ref="AA46:AC46"/>
    <mergeCell ref="AD46:AF46"/>
    <mergeCell ref="AG46:AI46"/>
    <mergeCell ref="I47:K47"/>
    <mergeCell ref="AA47:AC47"/>
    <mergeCell ref="AD47:AF47"/>
    <mergeCell ref="AG47:AI47"/>
    <mergeCell ref="I48:K48"/>
    <mergeCell ref="AA48:AC48"/>
    <mergeCell ref="AD48:AF48"/>
    <mergeCell ref="AG48:AI48"/>
    <mergeCell ref="I51:K51"/>
    <mergeCell ref="AA51:AC51"/>
    <mergeCell ref="AD51:AF51"/>
    <mergeCell ref="AG51:AI51"/>
    <mergeCell ref="I52:K52"/>
    <mergeCell ref="AA52:AC52"/>
    <mergeCell ref="AG40:AI40"/>
    <mergeCell ref="I43:K43"/>
    <mergeCell ref="AA43:AC43"/>
    <mergeCell ref="AD43:AF43"/>
    <mergeCell ref="I44:K44"/>
    <mergeCell ref="AA44:AC44"/>
    <mergeCell ref="AD44:AF44"/>
    <mergeCell ref="I41:K41"/>
    <mergeCell ref="AA41:AC41"/>
    <mergeCell ref="AD41:AF41"/>
    <mergeCell ref="AG44:AI44"/>
    <mergeCell ref="I37:K37"/>
    <mergeCell ref="AA37:AC37"/>
    <mergeCell ref="AD37:AF37"/>
    <mergeCell ref="AG37:AI37"/>
    <mergeCell ref="A38:H45"/>
    <mergeCell ref="I38:K38"/>
    <mergeCell ref="L38:Z45"/>
    <mergeCell ref="AA38:AC38"/>
    <mergeCell ref="AD38:AF38"/>
    <mergeCell ref="AG38:AI38"/>
    <mergeCell ref="A31:H37"/>
    <mergeCell ref="I31:K31"/>
    <mergeCell ref="AG41:AI41"/>
    <mergeCell ref="I42:K42"/>
    <mergeCell ref="AA42:AC42"/>
    <mergeCell ref="AD42:AF42"/>
    <mergeCell ref="AG42:AI42"/>
    <mergeCell ref="I39:K39"/>
    <mergeCell ref="AA39:AC39"/>
    <mergeCell ref="AD39:AF39"/>
    <mergeCell ref="AG39:AI39"/>
    <mergeCell ref="I40:K40"/>
    <mergeCell ref="AA40:AC40"/>
    <mergeCell ref="AD40:AF40"/>
    <mergeCell ref="I35:K35"/>
    <mergeCell ref="AA35:AC35"/>
    <mergeCell ref="AD35:AF35"/>
    <mergeCell ref="AG35:AI35"/>
    <mergeCell ref="I36:K36"/>
    <mergeCell ref="AA36:AC36"/>
    <mergeCell ref="AD36:AF36"/>
    <mergeCell ref="AG36:AI36"/>
    <mergeCell ref="I33:K33"/>
    <mergeCell ref="AA33:AC33"/>
    <mergeCell ref="AD33:AF33"/>
    <mergeCell ref="AG33:AI33"/>
    <mergeCell ref="I34:K34"/>
    <mergeCell ref="AA34:AC34"/>
    <mergeCell ref="AD34:AF34"/>
    <mergeCell ref="AG34:AI34"/>
    <mergeCell ref="L31:Z37"/>
    <mergeCell ref="AA31:AC31"/>
    <mergeCell ref="AD31:AF31"/>
    <mergeCell ref="AG31:AI31"/>
    <mergeCell ref="I32:K32"/>
    <mergeCell ref="AA32:AC32"/>
    <mergeCell ref="AD32:AF32"/>
    <mergeCell ref="AG32:AI32"/>
    <mergeCell ref="AD30:AF30"/>
    <mergeCell ref="AG30:AI30"/>
    <mergeCell ref="I27:K27"/>
    <mergeCell ref="AA27:AC27"/>
    <mergeCell ref="AD27:AF27"/>
    <mergeCell ref="AG27:AI27"/>
    <mergeCell ref="I28:K28"/>
    <mergeCell ref="AA28:AC28"/>
    <mergeCell ref="AD28:AF28"/>
    <mergeCell ref="AG28:AI28"/>
    <mergeCell ref="I25:K25"/>
    <mergeCell ref="AA25:AC25"/>
    <mergeCell ref="AD25:AF25"/>
    <mergeCell ref="AG25:AI25"/>
    <mergeCell ref="I26:K26"/>
    <mergeCell ref="AA26:AC26"/>
    <mergeCell ref="AD26:AF26"/>
    <mergeCell ref="AG26:AI26"/>
    <mergeCell ref="A23:H30"/>
    <mergeCell ref="I23:K23"/>
    <mergeCell ref="L23:Z30"/>
    <mergeCell ref="AA23:AC23"/>
    <mergeCell ref="AD23:AF23"/>
    <mergeCell ref="AG23:AI23"/>
    <mergeCell ref="I24:K24"/>
    <mergeCell ref="AA24:AC24"/>
    <mergeCell ref="AD24:AF24"/>
    <mergeCell ref="AG24:AI24"/>
    <mergeCell ref="I29:K29"/>
    <mergeCell ref="AA29:AC29"/>
    <mergeCell ref="AD29:AF29"/>
    <mergeCell ref="AG29:AI29"/>
    <mergeCell ref="I30:K30"/>
    <mergeCell ref="AA30:AC30"/>
    <mergeCell ref="AD22:AF22"/>
    <mergeCell ref="AG22:AI22"/>
    <mergeCell ref="I19:K19"/>
    <mergeCell ref="AA19:AC19"/>
    <mergeCell ref="AD19:AF19"/>
    <mergeCell ref="AG19:AI19"/>
    <mergeCell ref="I20:K20"/>
    <mergeCell ref="AA20:AC20"/>
    <mergeCell ref="AD20:AF20"/>
    <mergeCell ref="AG20:AI20"/>
    <mergeCell ref="I17:K17"/>
    <mergeCell ref="AA17:AC17"/>
    <mergeCell ref="AD17:AF17"/>
    <mergeCell ref="AG17:AI17"/>
    <mergeCell ref="I18:K18"/>
    <mergeCell ref="AA18:AC18"/>
    <mergeCell ref="AD18:AF18"/>
    <mergeCell ref="AG18:AI18"/>
    <mergeCell ref="A15:H22"/>
    <mergeCell ref="I15:K15"/>
    <mergeCell ref="L15:Z22"/>
    <mergeCell ref="AA15:AC15"/>
    <mergeCell ref="AD15:AF15"/>
    <mergeCell ref="AG15:AI15"/>
    <mergeCell ref="I16:K16"/>
    <mergeCell ref="AA16:AC16"/>
    <mergeCell ref="AD16:AF16"/>
    <mergeCell ref="AG16:AI16"/>
    <mergeCell ref="I21:K21"/>
    <mergeCell ref="AA21:AC21"/>
    <mergeCell ref="AD21:AF21"/>
    <mergeCell ref="AG21:AI21"/>
    <mergeCell ref="I22:K22"/>
    <mergeCell ref="AA22:AC22"/>
    <mergeCell ref="I14:K14"/>
    <mergeCell ref="AA14:AC14"/>
    <mergeCell ref="AD14:AF14"/>
    <mergeCell ref="AG14:AI14"/>
    <mergeCell ref="I11:K11"/>
    <mergeCell ref="AA11:AC11"/>
    <mergeCell ref="AD11:AF11"/>
    <mergeCell ref="AG11:AI11"/>
    <mergeCell ref="I12:K12"/>
    <mergeCell ref="AA12:AC12"/>
    <mergeCell ref="AD12:AF12"/>
    <mergeCell ref="AG12:AI12"/>
    <mergeCell ref="A1:AK1"/>
    <mergeCell ref="A2:AK2"/>
    <mergeCell ref="I9:K9"/>
    <mergeCell ref="AA9:AC9"/>
    <mergeCell ref="AD9:AF9"/>
    <mergeCell ref="AG9:AI9"/>
    <mergeCell ref="I10:K10"/>
    <mergeCell ref="AA10:AC10"/>
    <mergeCell ref="AD10:AF10"/>
    <mergeCell ref="AG10:AI10"/>
    <mergeCell ref="A7:H14"/>
    <mergeCell ref="I7:K7"/>
    <mergeCell ref="L7:Z14"/>
    <mergeCell ref="AA7:AC7"/>
    <mergeCell ref="AD7:AF7"/>
    <mergeCell ref="AG7:AI7"/>
    <mergeCell ref="I8:K8"/>
    <mergeCell ref="AA8:AC8"/>
    <mergeCell ref="AD8:AF8"/>
    <mergeCell ref="AG8:AI8"/>
    <mergeCell ref="I13:K13"/>
    <mergeCell ref="AA13:AC13"/>
    <mergeCell ref="AD13:AF13"/>
    <mergeCell ref="AG13:AI13"/>
    <mergeCell ref="A4:H6"/>
    <mergeCell ref="I4:K6"/>
    <mergeCell ref="L4:Z6"/>
    <mergeCell ref="AA4:AC6"/>
    <mergeCell ref="AD4:AF6"/>
    <mergeCell ref="AG4:AI6"/>
    <mergeCell ref="AK4:AK6"/>
    <mergeCell ref="AJ4:AJ6"/>
    <mergeCell ref="A3:AJ3"/>
  </mergeCells>
  <pageMargins left="0.23622047244094491" right="0.23622047244094491" top="0" bottom="0.74803149606299213" header="0" footer="0.31496062992125984"/>
  <pageSetup paperSize="9" scale="9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Q144"/>
  <sheetViews>
    <sheetView view="pageBreakPreview" zoomScaleNormal="100" zoomScaleSheetLayoutView="100" workbookViewId="0">
      <selection activeCell="A3" sqref="A3:H5"/>
    </sheetView>
  </sheetViews>
  <sheetFormatPr defaultColWidth="9.140625" defaultRowHeight="15" x14ac:dyDescent="0.25"/>
  <cols>
    <col min="1" max="10" width="3.28515625" style="28" customWidth="1"/>
    <col min="11" max="11" width="8.28515625" style="28" customWidth="1"/>
    <col min="12" max="26" width="1.85546875" style="28" customWidth="1"/>
    <col min="27" max="32" width="2.7109375" style="28" customWidth="1"/>
    <col min="33" max="35" width="2.7109375" style="28" hidden="1" customWidth="1"/>
    <col min="36" max="36" width="10.85546875" style="64" customWidth="1"/>
    <col min="37" max="16384" width="9.140625" style="28"/>
  </cols>
  <sheetData>
    <row r="1" spans="1:43" ht="15.75" x14ac:dyDescent="0.25">
      <c r="A1" s="198" t="s">
        <v>114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</row>
    <row r="2" spans="1:43" ht="52.5" customHeight="1" x14ac:dyDescent="0.25">
      <c r="A2" s="203" t="s">
        <v>227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86"/>
      <c r="AH2" s="86"/>
      <c r="AI2" s="86"/>
      <c r="AJ2" s="87">
        <v>70</v>
      </c>
    </row>
    <row r="3" spans="1:43" ht="10.15" customHeight="1" x14ac:dyDescent="0.25">
      <c r="A3" s="200" t="s">
        <v>52</v>
      </c>
      <c r="B3" s="200"/>
      <c r="C3" s="200"/>
      <c r="D3" s="200"/>
      <c r="E3" s="200"/>
      <c r="F3" s="200"/>
      <c r="G3" s="200"/>
      <c r="H3" s="200"/>
      <c r="I3" s="200" t="s">
        <v>115</v>
      </c>
      <c r="J3" s="200"/>
      <c r="K3" s="200"/>
      <c r="L3" s="200" t="s">
        <v>1</v>
      </c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1" t="s">
        <v>116</v>
      </c>
      <c r="AB3" s="201"/>
      <c r="AC3" s="201"/>
      <c r="AD3" s="201" t="s">
        <v>117</v>
      </c>
      <c r="AE3" s="201"/>
      <c r="AF3" s="201"/>
      <c r="AG3" s="201" t="s">
        <v>57</v>
      </c>
      <c r="AH3" s="201"/>
      <c r="AI3" s="201"/>
      <c r="AJ3" s="202" t="s">
        <v>201</v>
      </c>
      <c r="AN3" s="29"/>
    </row>
    <row r="4" spans="1:43" ht="10.15" customHeight="1" x14ac:dyDescent="0.25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1"/>
      <c r="AB4" s="201"/>
      <c r="AC4" s="201"/>
      <c r="AD4" s="201"/>
      <c r="AE4" s="201"/>
      <c r="AF4" s="201"/>
      <c r="AG4" s="201"/>
      <c r="AH4" s="201"/>
      <c r="AI4" s="201"/>
      <c r="AJ4" s="202"/>
    </row>
    <row r="5" spans="1:43" ht="10.15" customHeight="1" x14ac:dyDescent="0.25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1"/>
      <c r="AB5" s="201"/>
      <c r="AC5" s="201"/>
      <c r="AD5" s="201"/>
      <c r="AE5" s="201"/>
      <c r="AF5" s="201"/>
      <c r="AG5" s="201"/>
      <c r="AH5" s="201"/>
      <c r="AI5" s="201"/>
      <c r="AJ5" s="202"/>
    </row>
    <row r="6" spans="1:43" ht="9.75" customHeight="1" x14ac:dyDescent="0.25">
      <c r="A6" s="195"/>
      <c r="B6" s="195"/>
      <c r="C6" s="195"/>
      <c r="D6" s="195"/>
      <c r="E6" s="195"/>
      <c r="F6" s="195"/>
      <c r="G6" s="195"/>
      <c r="H6" s="195"/>
      <c r="I6" s="196" t="s">
        <v>118</v>
      </c>
      <c r="J6" s="196"/>
      <c r="K6" s="196"/>
      <c r="L6" s="181" t="s">
        <v>119</v>
      </c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91">
        <v>5400</v>
      </c>
      <c r="AB6" s="191"/>
      <c r="AC6" s="191"/>
      <c r="AD6" s="191" t="s">
        <v>120</v>
      </c>
      <c r="AE6" s="191"/>
      <c r="AF6" s="191"/>
      <c r="AG6" s="191"/>
      <c r="AH6" s="191"/>
      <c r="AI6" s="191"/>
      <c r="AJ6" s="66">
        <f>46.6*AJ2</f>
        <v>3262</v>
      </c>
    </row>
    <row r="7" spans="1:43" ht="10.15" customHeight="1" x14ac:dyDescent="0.25">
      <c r="A7" s="195"/>
      <c r="B7" s="195"/>
      <c r="C7" s="195"/>
      <c r="D7" s="195"/>
      <c r="E7" s="195"/>
      <c r="F7" s="195"/>
      <c r="G7" s="195"/>
      <c r="H7" s="195"/>
      <c r="I7" s="196"/>
      <c r="J7" s="196"/>
      <c r="K7" s="196"/>
      <c r="L7" s="181" t="s">
        <v>189</v>
      </c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91">
        <v>5400</v>
      </c>
      <c r="AB7" s="191"/>
      <c r="AC7" s="191"/>
      <c r="AD7" s="191" t="s">
        <v>120</v>
      </c>
      <c r="AE7" s="191"/>
      <c r="AF7" s="191"/>
      <c r="AG7" s="60"/>
      <c r="AH7" s="60"/>
      <c r="AI7" s="60"/>
      <c r="AJ7" s="192">
        <v>2155</v>
      </c>
    </row>
    <row r="8" spans="1:43" ht="10.15" customHeight="1" x14ac:dyDescent="0.25">
      <c r="A8" s="195"/>
      <c r="B8" s="195"/>
      <c r="C8" s="195"/>
      <c r="D8" s="195"/>
      <c r="E8" s="195"/>
      <c r="F8" s="195"/>
      <c r="G8" s="195"/>
      <c r="H8" s="195"/>
      <c r="I8" s="196"/>
      <c r="J8" s="196"/>
      <c r="K8" s="196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91"/>
      <c r="AB8" s="191"/>
      <c r="AC8" s="191"/>
      <c r="AD8" s="191"/>
      <c r="AE8" s="191"/>
      <c r="AF8" s="191"/>
      <c r="AG8" s="60"/>
      <c r="AH8" s="60"/>
      <c r="AI8" s="60"/>
      <c r="AJ8" s="192">
        <v>0</v>
      </c>
    </row>
    <row r="9" spans="1:43" ht="10.15" customHeight="1" x14ac:dyDescent="0.25">
      <c r="A9" s="195"/>
      <c r="B9" s="195"/>
      <c r="C9" s="195"/>
      <c r="D9" s="195"/>
      <c r="E9" s="195"/>
      <c r="F9" s="195"/>
      <c r="G9" s="195"/>
      <c r="H9" s="195"/>
      <c r="I9" s="196"/>
      <c r="J9" s="196"/>
      <c r="K9" s="196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91"/>
      <c r="AB9" s="191"/>
      <c r="AC9" s="191"/>
      <c r="AD9" s="191"/>
      <c r="AE9" s="191"/>
      <c r="AF9" s="191"/>
      <c r="AG9" s="60"/>
      <c r="AH9" s="60"/>
      <c r="AI9" s="60"/>
      <c r="AJ9" s="192">
        <v>0</v>
      </c>
    </row>
    <row r="10" spans="1:43" ht="10.15" customHeight="1" x14ac:dyDescent="0.25">
      <c r="A10" s="195"/>
      <c r="B10" s="195"/>
      <c r="C10" s="195"/>
      <c r="D10" s="195"/>
      <c r="E10" s="195"/>
      <c r="F10" s="195"/>
      <c r="G10" s="195"/>
      <c r="H10" s="195"/>
      <c r="I10" s="196"/>
      <c r="J10" s="196"/>
      <c r="K10" s="196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91"/>
      <c r="AB10" s="191"/>
      <c r="AC10" s="191"/>
      <c r="AD10" s="191"/>
      <c r="AE10" s="191"/>
      <c r="AF10" s="191"/>
      <c r="AG10" s="60"/>
      <c r="AH10" s="60"/>
      <c r="AI10" s="60"/>
      <c r="AJ10" s="192">
        <v>0</v>
      </c>
    </row>
    <row r="11" spans="1:43" ht="10.15" customHeight="1" x14ac:dyDescent="0.25">
      <c r="A11" s="195"/>
      <c r="B11" s="195"/>
      <c r="C11" s="195"/>
      <c r="D11" s="195"/>
      <c r="E11" s="195"/>
      <c r="F11" s="195"/>
      <c r="G11" s="195"/>
      <c r="H11" s="195"/>
      <c r="I11" s="196"/>
      <c r="J11" s="196"/>
      <c r="K11" s="196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91"/>
      <c r="AB11" s="191"/>
      <c r="AC11" s="191"/>
      <c r="AD11" s="191"/>
      <c r="AE11" s="191"/>
      <c r="AF11" s="191"/>
      <c r="AG11" s="60"/>
      <c r="AH11" s="60"/>
      <c r="AI11" s="60"/>
      <c r="AJ11" s="192">
        <v>0</v>
      </c>
    </row>
    <row r="12" spans="1:43" ht="10.15" customHeight="1" x14ac:dyDescent="0.25">
      <c r="A12" s="195"/>
      <c r="B12" s="195"/>
      <c r="C12" s="195"/>
      <c r="D12" s="195"/>
      <c r="E12" s="195"/>
      <c r="F12" s="195"/>
      <c r="G12" s="195"/>
      <c r="H12" s="195"/>
      <c r="I12" s="196"/>
      <c r="J12" s="196"/>
      <c r="K12" s="196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91"/>
      <c r="AB12" s="191"/>
      <c r="AC12" s="191"/>
      <c r="AD12" s="191"/>
      <c r="AE12" s="191"/>
      <c r="AF12" s="191"/>
      <c r="AG12" s="60"/>
      <c r="AH12" s="60"/>
      <c r="AI12" s="60"/>
      <c r="AJ12" s="192">
        <v>0</v>
      </c>
      <c r="AK12" s="30"/>
      <c r="AL12" s="30"/>
      <c r="AM12" s="30"/>
      <c r="AN12" s="30"/>
      <c r="AO12" s="30"/>
      <c r="AP12" s="30"/>
      <c r="AQ12" s="30"/>
    </row>
    <row r="13" spans="1:43" ht="10.15" customHeight="1" x14ac:dyDescent="0.25">
      <c r="A13" s="195"/>
      <c r="B13" s="195"/>
      <c r="C13" s="195"/>
      <c r="D13" s="195"/>
      <c r="E13" s="195"/>
      <c r="F13" s="195"/>
      <c r="G13" s="195"/>
      <c r="H13" s="195"/>
      <c r="I13" s="196"/>
      <c r="J13" s="196"/>
      <c r="K13" s="196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91"/>
      <c r="AB13" s="191"/>
      <c r="AC13" s="191"/>
      <c r="AD13" s="191"/>
      <c r="AE13" s="191"/>
      <c r="AF13" s="191"/>
      <c r="AG13" s="60"/>
      <c r="AH13" s="60"/>
      <c r="AI13" s="60"/>
      <c r="AJ13" s="192">
        <v>0</v>
      </c>
      <c r="AK13" s="30"/>
      <c r="AL13" s="30"/>
      <c r="AM13" s="30"/>
      <c r="AN13" s="30"/>
      <c r="AO13" s="30"/>
      <c r="AP13" s="30"/>
      <c r="AQ13" s="30"/>
    </row>
    <row r="14" spans="1:43" ht="10.15" customHeight="1" x14ac:dyDescent="0.25">
      <c r="A14" s="195"/>
      <c r="B14" s="195"/>
      <c r="C14" s="195"/>
      <c r="D14" s="195"/>
      <c r="E14" s="195"/>
      <c r="F14" s="195"/>
      <c r="G14" s="195"/>
      <c r="H14" s="195"/>
      <c r="I14" s="196" t="s">
        <v>122</v>
      </c>
      <c r="J14" s="196"/>
      <c r="K14" s="196"/>
      <c r="L14" s="181" t="s">
        <v>119</v>
      </c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91">
        <v>5400</v>
      </c>
      <c r="AB14" s="191"/>
      <c r="AC14" s="191"/>
      <c r="AD14" s="191" t="s">
        <v>120</v>
      </c>
      <c r="AE14" s="191"/>
      <c r="AF14" s="191"/>
      <c r="AG14" s="191"/>
      <c r="AH14" s="191"/>
      <c r="AI14" s="191"/>
      <c r="AJ14" s="66">
        <f>33.35*AJ2</f>
        <v>2334.5</v>
      </c>
      <c r="AK14" s="30"/>
      <c r="AL14" s="30"/>
      <c r="AM14" s="30"/>
      <c r="AN14" s="30"/>
      <c r="AO14" s="30"/>
      <c r="AP14" s="30"/>
      <c r="AQ14" s="30"/>
    </row>
    <row r="15" spans="1:43" ht="10.15" customHeight="1" x14ac:dyDescent="0.25">
      <c r="A15" s="195"/>
      <c r="B15" s="195"/>
      <c r="C15" s="195"/>
      <c r="D15" s="195"/>
      <c r="E15" s="195"/>
      <c r="F15" s="195"/>
      <c r="G15" s="195"/>
      <c r="H15" s="195"/>
      <c r="I15" s="196"/>
      <c r="J15" s="196"/>
      <c r="K15" s="196"/>
      <c r="L15" s="181" t="s">
        <v>190</v>
      </c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91">
        <v>5400</v>
      </c>
      <c r="AB15" s="191"/>
      <c r="AC15" s="191"/>
      <c r="AD15" s="191" t="s">
        <v>120</v>
      </c>
      <c r="AE15" s="191"/>
      <c r="AF15" s="191"/>
      <c r="AG15" s="191"/>
      <c r="AH15" s="191"/>
      <c r="AI15" s="191"/>
      <c r="AJ15" s="192">
        <v>1543</v>
      </c>
      <c r="AK15" s="30"/>
      <c r="AL15" s="30"/>
      <c r="AM15" s="30"/>
      <c r="AN15" s="30"/>
      <c r="AO15" s="30"/>
      <c r="AP15" s="30"/>
      <c r="AQ15" s="30"/>
    </row>
    <row r="16" spans="1:43" ht="10.15" customHeight="1" x14ac:dyDescent="0.25">
      <c r="A16" s="195"/>
      <c r="B16" s="195"/>
      <c r="C16" s="195"/>
      <c r="D16" s="195"/>
      <c r="E16" s="195"/>
      <c r="F16" s="195"/>
      <c r="G16" s="195"/>
      <c r="H16" s="195"/>
      <c r="I16" s="196"/>
      <c r="J16" s="196"/>
      <c r="K16" s="196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2">
        <v>0</v>
      </c>
      <c r="AK16" s="30"/>
      <c r="AL16" s="30"/>
      <c r="AM16" s="30"/>
      <c r="AN16" s="30"/>
      <c r="AO16" s="30"/>
      <c r="AP16" s="30"/>
      <c r="AQ16" s="30"/>
    </row>
    <row r="17" spans="1:43" ht="10.15" customHeight="1" x14ac:dyDescent="0.25">
      <c r="A17" s="195"/>
      <c r="B17" s="195"/>
      <c r="C17" s="195"/>
      <c r="D17" s="195"/>
      <c r="E17" s="195"/>
      <c r="F17" s="195"/>
      <c r="G17" s="195"/>
      <c r="H17" s="195"/>
      <c r="I17" s="196"/>
      <c r="J17" s="196"/>
      <c r="K17" s="196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2">
        <v>0</v>
      </c>
      <c r="AK17" s="30"/>
      <c r="AL17" s="30"/>
      <c r="AM17" s="30"/>
      <c r="AN17" s="30"/>
      <c r="AO17" s="30"/>
      <c r="AP17" s="30"/>
      <c r="AQ17" s="30"/>
    </row>
    <row r="18" spans="1:43" ht="10.15" customHeight="1" x14ac:dyDescent="0.25">
      <c r="A18" s="195"/>
      <c r="B18" s="195"/>
      <c r="C18" s="195"/>
      <c r="D18" s="195"/>
      <c r="E18" s="195"/>
      <c r="F18" s="195"/>
      <c r="G18" s="195"/>
      <c r="H18" s="195"/>
      <c r="I18" s="196"/>
      <c r="J18" s="196"/>
      <c r="K18" s="196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2">
        <v>0</v>
      </c>
      <c r="AK18" s="30"/>
      <c r="AL18" s="30"/>
      <c r="AM18" s="30"/>
      <c r="AN18" s="30"/>
      <c r="AO18" s="30"/>
      <c r="AP18" s="30"/>
      <c r="AQ18" s="30"/>
    </row>
    <row r="19" spans="1:43" ht="10.15" customHeight="1" x14ac:dyDescent="0.25">
      <c r="A19" s="195"/>
      <c r="B19" s="195"/>
      <c r="C19" s="195"/>
      <c r="D19" s="195"/>
      <c r="E19" s="195"/>
      <c r="F19" s="195"/>
      <c r="G19" s="195"/>
      <c r="H19" s="195"/>
      <c r="I19" s="196"/>
      <c r="J19" s="196"/>
      <c r="K19" s="196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2">
        <v>0</v>
      </c>
      <c r="AK19" s="30"/>
      <c r="AL19" s="30"/>
      <c r="AM19" s="30"/>
      <c r="AN19" s="30"/>
      <c r="AO19" s="30"/>
      <c r="AP19" s="30"/>
      <c r="AQ19" s="30"/>
    </row>
    <row r="20" spans="1:43" ht="10.15" customHeight="1" x14ac:dyDescent="0.25">
      <c r="A20" s="195"/>
      <c r="B20" s="195"/>
      <c r="C20" s="195"/>
      <c r="D20" s="195"/>
      <c r="E20" s="195"/>
      <c r="F20" s="195"/>
      <c r="G20" s="195"/>
      <c r="H20" s="195"/>
      <c r="I20" s="196"/>
      <c r="J20" s="196"/>
      <c r="K20" s="196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2">
        <v>0</v>
      </c>
      <c r="AK20" s="30"/>
      <c r="AL20" s="30"/>
      <c r="AM20" s="30"/>
      <c r="AN20" s="30"/>
      <c r="AO20" s="30"/>
      <c r="AP20" s="30"/>
      <c r="AQ20" s="30"/>
    </row>
    <row r="21" spans="1:43" ht="10.15" customHeight="1" x14ac:dyDescent="0.25">
      <c r="A21" s="195"/>
      <c r="B21" s="195"/>
      <c r="C21" s="195"/>
      <c r="D21" s="195"/>
      <c r="E21" s="195"/>
      <c r="F21" s="195"/>
      <c r="G21" s="195"/>
      <c r="H21" s="195"/>
      <c r="I21" s="196"/>
      <c r="J21" s="196"/>
      <c r="K21" s="196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2">
        <v>0</v>
      </c>
      <c r="AK21" s="30"/>
      <c r="AL21" s="30"/>
      <c r="AM21" s="30"/>
      <c r="AN21" s="30"/>
      <c r="AO21" s="30"/>
      <c r="AP21" s="30"/>
      <c r="AQ21" s="30"/>
    </row>
    <row r="22" spans="1:43" ht="10.15" customHeight="1" x14ac:dyDescent="0.25">
      <c r="A22" s="195"/>
      <c r="B22" s="195"/>
      <c r="C22" s="195"/>
      <c r="D22" s="195"/>
      <c r="E22" s="195"/>
      <c r="F22" s="195"/>
      <c r="G22" s="195"/>
      <c r="H22" s="195"/>
      <c r="I22" s="196" t="s">
        <v>123</v>
      </c>
      <c r="J22" s="196"/>
      <c r="K22" s="196"/>
      <c r="L22" s="181" t="s">
        <v>119</v>
      </c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91">
        <v>5900</v>
      </c>
      <c r="AB22" s="191"/>
      <c r="AC22" s="191"/>
      <c r="AD22" s="191" t="s">
        <v>120</v>
      </c>
      <c r="AE22" s="191"/>
      <c r="AF22" s="191"/>
      <c r="AG22" s="191"/>
      <c r="AH22" s="191"/>
      <c r="AI22" s="191"/>
      <c r="AJ22" s="66">
        <f>62.85*AJ2</f>
        <v>4399.5</v>
      </c>
      <c r="AK22" s="30"/>
      <c r="AL22" s="30"/>
      <c r="AM22" s="30"/>
      <c r="AN22" s="30"/>
      <c r="AO22" s="30"/>
      <c r="AP22" s="30"/>
      <c r="AQ22" s="30"/>
    </row>
    <row r="23" spans="1:43" ht="10.15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6"/>
      <c r="J23" s="196"/>
      <c r="K23" s="196"/>
      <c r="L23" s="181" t="s">
        <v>190</v>
      </c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91">
        <v>5900</v>
      </c>
      <c r="AB23" s="191"/>
      <c r="AC23" s="191"/>
      <c r="AD23" s="191" t="s">
        <v>120</v>
      </c>
      <c r="AE23" s="191"/>
      <c r="AF23" s="191"/>
      <c r="AG23" s="191"/>
      <c r="AH23" s="191"/>
      <c r="AI23" s="191"/>
      <c r="AJ23" s="192">
        <v>3011</v>
      </c>
      <c r="AK23" s="30"/>
      <c r="AL23" s="30"/>
      <c r="AM23" s="30"/>
      <c r="AN23" s="30"/>
      <c r="AO23" s="30"/>
      <c r="AP23" s="30"/>
      <c r="AQ23" s="30"/>
    </row>
    <row r="24" spans="1:43" ht="10.15" customHeight="1" x14ac:dyDescent="0.25">
      <c r="A24" s="195"/>
      <c r="B24" s="195"/>
      <c r="C24" s="195"/>
      <c r="D24" s="195"/>
      <c r="E24" s="195"/>
      <c r="F24" s="195"/>
      <c r="G24" s="195"/>
      <c r="H24" s="195"/>
      <c r="I24" s="196"/>
      <c r="J24" s="196"/>
      <c r="K24" s="196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2">
        <v>0</v>
      </c>
      <c r="AK24" s="30"/>
      <c r="AL24" s="30"/>
      <c r="AM24" s="30"/>
      <c r="AN24" s="30"/>
      <c r="AO24" s="30"/>
      <c r="AP24" s="30"/>
      <c r="AQ24" s="30"/>
    </row>
    <row r="25" spans="1:43" ht="10.15" customHeight="1" x14ac:dyDescent="0.25">
      <c r="A25" s="195"/>
      <c r="B25" s="195"/>
      <c r="C25" s="195"/>
      <c r="D25" s="195"/>
      <c r="E25" s="195"/>
      <c r="F25" s="195"/>
      <c r="G25" s="195"/>
      <c r="H25" s="195"/>
      <c r="I25" s="196"/>
      <c r="J25" s="196"/>
      <c r="K25" s="196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2">
        <v>0</v>
      </c>
      <c r="AK25" s="30"/>
      <c r="AL25" s="30"/>
      <c r="AM25" s="30"/>
      <c r="AN25" s="30"/>
      <c r="AO25" s="30"/>
      <c r="AP25" s="30"/>
      <c r="AQ25" s="30"/>
    </row>
    <row r="26" spans="1:43" ht="10.15" customHeight="1" x14ac:dyDescent="0.25">
      <c r="A26" s="195"/>
      <c r="B26" s="195"/>
      <c r="C26" s="195"/>
      <c r="D26" s="195"/>
      <c r="E26" s="195"/>
      <c r="F26" s="195"/>
      <c r="G26" s="195"/>
      <c r="H26" s="195"/>
      <c r="I26" s="196"/>
      <c r="J26" s="196"/>
      <c r="K26" s="196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2">
        <v>0</v>
      </c>
      <c r="AK26" s="30"/>
      <c r="AL26" s="30"/>
      <c r="AM26" s="30"/>
      <c r="AN26" s="30"/>
      <c r="AO26" s="30"/>
      <c r="AP26" s="30"/>
      <c r="AQ26" s="30"/>
    </row>
    <row r="27" spans="1:43" ht="10.15" customHeight="1" x14ac:dyDescent="0.25">
      <c r="A27" s="195"/>
      <c r="B27" s="195"/>
      <c r="C27" s="195"/>
      <c r="D27" s="195"/>
      <c r="E27" s="195"/>
      <c r="F27" s="195"/>
      <c r="G27" s="195"/>
      <c r="H27" s="195"/>
      <c r="I27" s="196"/>
      <c r="J27" s="196"/>
      <c r="K27" s="196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2">
        <v>0</v>
      </c>
      <c r="AK27" s="30"/>
      <c r="AL27" s="30"/>
      <c r="AM27" s="30"/>
      <c r="AN27" s="30"/>
      <c r="AO27" s="30"/>
      <c r="AP27" s="30"/>
      <c r="AQ27" s="30"/>
    </row>
    <row r="28" spans="1:43" ht="10.15" customHeight="1" x14ac:dyDescent="0.25">
      <c r="A28" s="195"/>
      <c r="B28" s="195"/>
      <c r="C28" s="195"/>
      <c r="D28" s="195"/>
      <c r="E28" s="195"/>
      <c r="F28" s="195"/>
      <c r="G28" s="195"/>
      <c r="H28" s="195"/>
      <c r="I28" s="196"/>
      <c r="J28" s="196"/>
      <c r="K28" s="196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2">
        <v>0</v>
      </c>
      <c r="AK28" s="30"/>
      <c r="AL28" s="30"/>
      <c r="AM28" s="30"/>
      <c r="AN28" s="30"/>
      <c r="AO28" s="30"/>
      <c r="AP28" s="30"/>
      <c r="AQ28" s="30"/>
    </row>
    <row r="29" spans="1:43" ht="10.15" customHeight="1" x14ac:dyDescent="0.25">
      <c r="A29" s="195"/>
      <c r="B29" s="195"/>
      <c r="C29" s="195"/>
      <c r="D29" s="195"/>
      <c r="E29" s="195"/>
      <c r="F29" s="195"/>
      <c r="G29" s="195"/>
      <c r="H29" s="195"/>
      <c r="I29" s="196"/>
      <c r="J29" s="196"/>
      <c r="K29" s="196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2">
        <v>0</v>
      </c>
      <c r="AK29" s="30"/>
      <c r="AL29" s="30"/>
      <c r="AM29" s="30"/>
      <c r="AN29" s="30"/>
      <c r="AO29" s="30"/>
      <c r="AP29" s="30"/>
      <c r="AQ29" s="30"/>
    </row>
    <row r="30" spans="1:43" ht="10.15" customHeight="1" x14ac:dyDescent="0.25">
      <c r="A30" s="195"/>
      <c r="B30" s="195"/>
      <c r="C30" s="195"/>
      <c r="D30" s="195"/>
      <c r="E30" s="195"/>
      <c r="F30" s="195"/>
      <c r="G30" s="195"/>
      <c r="H30" s="195"/>
      <c r="I30" s="196" t="s">
        <v>124</v>
      </c>
      <c r="J30" s="196"/>
      <c r="K30" s="196"/>
      <c r="L30" s="181" t="s">
        <v>119</v>
      </c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91">
        <v>5900</v>
      </c>
      <c r="AB30" s="191"/>
      <c r="AC30" s="191"/>
      <c r="AD30" s="191" t="s">
        <v>120</v>
      </c>
      <c r="AE30" s="191"/>
      <c r="AF30" s="191"/>
      <c r="AG30" s="191"/>
      <c r="AH30" s="191"/>
      <c r="AI30" s="191"/>
      <c r="AJ30" s="66">
        <f>19.83*AJ2</f>
        <v>1388.1</v>
      </c>
      <c r="AK30" s="30"/>
      <c r="AL30" s="30"/>
      <c r="AM30" s="30"/>
      <c r="AN30" s="30"/>
      <c r="AO30" s="30"/>
      <c r="AP30" s="30"/>
      <c r="AQ30" s="30"/>
    </row>
    <row r="31" spans="1:43" ht="10.15" customHeight="1" x14ac:dyDescent="0.25">
      <c r="A31" s="195"/>
      <c r="B31" s="195"/>
      <c r="C31" s="195"/>
      <c r="D31" s="195"/>
      <c r="E31" s="195"/>
      <c r="F31" s="195"/>
      <c r="G31" s="195"/>
      <c r="H31" s="195"/>
      <c r="I31" s="196"/>
      <c r="J31" s="196"/>
      <c r="K31" s="196"/>
      <c r="L31" s="181" t="s">
        <v>190</v>
      </c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91">
        <v>5900</v>
      </c>
      <c r="AB31" s="191"/>
      <c r="AC31" s="191"/>
      <c r="AD31" s="191" t="s">
        <v>120</v>
      </c>
      <c r="AE31" s="191"/>
      <c r="AF31" s="191"/>
      <c r="AG31" s="191"/>
      <c r="AH31" s="191"/>
      <c r="AI31" s="191"/>
      <c r="AJ31" s="192">
        <v>1011</v>
      </c>
      <c r="AK31" s="30"/>
      <c r="AL31" s="30"/>
      <c r="AM31" s="30"/>
      <c r="AN31" s="30"/>
      <c r="AO31" s="30"/>
      <c r="AP31" s="30"/>
      <c r="AQ31" s="30"/>
    </row>
    <row r="32" spans="1:43" ht="10.15" customHeight="1" x14ac:dyDescent="0.25">
      <c r="A32" s="195"/>
      <c r="B32" s="195"/>
      <c r="C32" s="195"/>
      <c r="D32" s="195"/>
      <c r="E32" s="195"/>
      <c r="F32" s="195"/>
      <c r="G32" s="195"/>
      <c r="H32" s="195"/>
      <c r="I32" s="196"/>
      <c r="J32" s="196"/>
      <c r="K32" s="196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2">
        <v>0</v>
      </c>
      <c r="AK32" s="30"/>
      <c r="AL32" s="30"/>
      <c r="AM32" s="30"/>
      <c r="AN32" s="30"/>
      <c r="AO32" s="30"/>
      <c r="AP32" s="30"/>
      <c r="AQ32" s="30"/>
    </row>
    <row r="33" spans="1:43" ht="10.15" customHeight="1" x14ac:dyDescent="0.25">
      <c r="A33" s="195"/>
      <c r="B33" s="195"/>
      <c r="C33" s="195"/>
      <c r="D33" s="195"/>
      <c r="E33" s="195"/>
      <c r="F33" s="195"/>
      <c r="G33" s="195"/>
      <c r="H33" s="195"/>
      <c r="I33" s="196"/>
      <c r="J33" s="196"/>
      <c r="K33" s="196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2">
        <v>0</v>
      </c>
      <c r="AK33" s="30"/>
      <c r="AL33" s="30"/>
      <c r="AM33" s="30"/>
      <c r="AN33" s="30"/>
      <c r="AO33" s="30"/>
      <c r="AP33" s="30"/>
      <c r="AQ33" s="30"/>
    </row>
    <row r="34" spans="1:43" ht="10.15" customHeight="1" x14ac:dyDescent="0.25">
      <c r="A34" s="195"/>
      <c r="B34" s="195"/>
      <c r="C34" s="195"/>
      <c r="D34" s="195"/>
      <c r="E34" s="195"/>
      <c r="F34" s="195"/>
      <c r="G34" s="195"/>
      <c r="H34" s="195"/>
      <c r="I34" s="196"/>
      <c r="J34" s="196"/>
      <c r="K34" s="196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2">
        <v>0</v>
      </c>
    </row>
    <row r="35" spans="1:43" ht="10.15" customHeight="1" x14ac:dyDescent="0.25">
      <c r="A35" s="195"/>
      <c r="B35" s="195"/>
      <c r="C35" s="195"/>
      <c r="D35" s="195"/>
      <c r="E35" s="195"/>
      <c r="F35" s="195"/>
      <c r="G35" s="195"/>
      <c r="H35" s="195"/>
      <c r="I35" s="196"/>
      <c r="J35" s="196"/>
      <c r="K35" s="196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2">
        <v>0</v>
      </c>
    </row>
    <row r="36" spans="1:43" ht="10.15" customHeight="1" x14ac:dyDescent="0.25">
      <c r="A36" s="195"/>
      <c r="B36" s="195"/>
      <c r="C36" s="195"/>
      <c r="D36" s="195"/>
      <c r="E36" s="195"/>
      <c r="F36" s="195"/>
      <c r="G36" s="195"/>
      <c r="H36" s="195"/>
      <c r="I36" s="196"/>
      <c r="J36" s="196"/>
      <c r="K36" s="196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2">
        <v>0</v>
      </c>
    </row>
    <row r="37" spans="1:43" ht="10.15" customHeight="1" x14ac:dyDescent="0.25">
      <c r="A37" s="195"/>
      <c r="B37" s="195"/>
      <c r="C37" s="195"/>
      <c r="D37" s="195"/>
      <c r="E37" s="195"/>
      <c r="F37" s="195"/>
      <c r="G37" s="195"/>
      <c r="H37" s="195"/>
      <c r="I37" s="196" t="s">
        <v>125</v>
      </c>
      <c r="J37" s="196"/>
      <c r="K37" s="196"/>
      <c r="L37" s="181" t="s">
        <v>119</v>
      </c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91">
        <v>5900</v>
      </c>
      <c r="AB37" s="191"/>
      <c r="AC37" s="191"/>
      <c r="AD37" s="191" t="s">
        <v>120</v>
      </c>
      <c r="AE37" s="191"/>
      <c r="AF37" s="191"/>
      <c r="AG37" s="191"/>
      <c r="AH37" s="191"/>
      <c r="AI37" s="191"/>
      <c r="AJ37" s="197">
        <f>46.32*AJ2</f>
        <v>3242.4</v>
      </c>
    </row>
    <row r="38" spans="1:43" ht="10.15" customHeight="1" x14ac:dyDescent="0.25">
      <c r="A38" s="195"/>
      <c r="B38" s="195"/>
      <c r="C38" s="195"/>
      <c r="D38" s="195"/>
      <c r="E38" s="195"/>
      <c r="F38" s="195"/>
      <c r="G38" s="195"/>
      <c r="H38" s="195"/>
      <c r="I38" s="196"/>
      <c r="J38" s="196"/>
      <c r="K38" s="196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7"/>
    </row>
    <row r="39" spans="1:43" ht="10.15" customHeight="1" x14ac:dyDescent="0.25">
      <c r="A39" s="195"/>
      <c r="B39" s="195"/>
      <c r="C39" s="195"/>
      <c r="D39" s="195"/>
      <c r="E39" s="195"/>
      <c r="F39" s="195"/>
      <c r="G39" s="195"/>
      <c r="H39" s="195"/>
      <c r="I39" s="196"/>
      <c r="J39" s="196"/>
      <c r="K39" s="196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7"/>
    </row>
    <row r="40" spans="1:43" ht="10.15" customHeight="1" x14ac:dyDescent="0.25">
      <c r="A40" s="195"/>
      <c r="B40" s="195"/>
      <c r="C40" s="195"/>
      <c r="D40" s="195"/>
      <c r="E40" s="195"/>
      <c r="F40" s="195"/>
      <c r="G40" s="195"/>
      <c r="H40" s="195"/>
      <c r="I40" s="196"/>
      <c r="J40" s="196"/>
      <c r="K40" s="196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7"/>
    </row>
    <row r="41" spans="1:43" ht="10.15" customHeight="1" x14ac:dyDescent="0.25">
      <c r="A41" s="195"/>
      <c r="B41" s="195"/>
      <c r="C41" s="195"/>
      <c r="D41" s="195"/>
      <c r="E41" s="195"/>
      <c r="F41" s="195"/>
      <c r="G41" s="195"/>
      <c r="H41" s="195"/>
      <c r="I41" s="196"/>
      <c r="J41" s="196"/>
      <c r="K41" s="196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7"/>
    </row>
    <row r="42" spans="1:43" ht="10.15" customHeight="1" x14ac:dyDescent="0.25">
      <c r="A42" s="195"/>
      <c r="B42" s="195"/>
      <c r="C42" s="195"/>
      <c r="D42" s="195"/>
      <c r="E42" s="195"/>
      <c r="F42" s="195"/>
      <c r="G42" s="195"/>
      <c r="H42" s="195"/>
      <c r="I42" s="196"/>
      <c r="J42" s="196"/>
      <c r="K42" s="196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7"/>
    </row>
    <row r="43" spans="1:43" ht="10.15" customHeight="1" x14ac:dyDescent="0.25">
      <c r="A43" s="195"/>
      <c r="B43" s="195"/>
      <c r="C43" s="195"/>
      <c r="D43" s="195"/>
      <c r="E43" s="195"/>
      <c r="F43" s="195"/>
      <c r="G43" s="195"/>
      <c r="H43" s="195"/>
      <c r="I43" s="196"/>
      <c r="J43" s="196"/>
      <c r="K43" s="196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7"/>
    </row>
    <row r="44" spans="1:43" ht="10.15" customHeight="1" x14ac:dyDescent="0.25">
      <c r="A44" s="195"/>
      <c r="B44" s="195"/>
      <c r="C44" s="195"/>
      <c r="D44" s="195"/>
      <c r="E44" s="195"/>
      <c r="F44" s="195"/>
      <c r="G44" s="195"/>
      <c r="H44" s="195"/>
      <c r="I44" s="196" t="s">
        <v>126</v>
      </c>
      <c r="J44" s="196"/>
      <c r="K44" s="196"/>
      <c r="L44" s="181" t="s">
        <v>119</v>
      </c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>
        <v>5900</v>
      </c>
      <c r="AB44" s="191"/>
      <c r="AC44" s="191"/>
      <c r="AD44" s="191" t="s">
        <v>120</v>
      </c>
      <c r="AE44" s="191"/>
      <c r="AF44" s="191"/>
      <c r="AG44" s="191"/>
      <c r="AH44" s="191"/>
      <c r="AI44" s="191"/>
      <c r="AJ44" s="192">
        <f>42.75*AJ2</f>
        <v>2992.5</v>
      </c>
    </row>
    <row r="45" spans="1:43" ht="10.15" customHeight="1" x14ac:dyDescent="0.25">
      <c r="A45" s="195"/>
      <c r="B45" s="195"/>
      <c r="C45" s="195"/>
      <c r="D45" s="195"/>
      <c r="E45" s="195"/>
      <c r="F45" s="195"/>
      <c r="G45" s="195"/>
      <c r="H45" s="195"/>
      <c r="I45" s="196"/>
      <c r="J45" s="196"/>
      <c r="K45" s="196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2">
        <v>0</v>
      </c>
    </row>
    <row r="46" spans="1:43" ht="10.15" customHeight="1" x14ac:dyDescent="0.25">
      <c r="A46" s="195"/>
      <c r="B46" s="195"/>
      <c r="C46" s="195"/>
      <c r="D46" s="195"/>
      <c r="E46" s="195"/>
      <c r="F46" s="195"/>
      <c r="G46" s="195"/>
      <c r="H46" s="195"/>
      <c r="I46" s="196"/>
      <c r="J46" s="196"/>
      <c r="K46" s="196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2">
        <v>0</v>
      </c>
    </row>
    <row r="47" spans="1:43" ht="10.15" customHeight="1" x14ac:dyDescent="0.25">
      <c r="A47" s="195"/>
      <c r="B47" s="195"/>
      <c r="C47" s="195"/>
      <c r="D47" s="195"/>
      <c r="E47" s="195"/>
      <c r="F47" s="195"/>
      <c r="G47" s="195"/>
      <c r="H47" s="195"/>
      <c r="I47" s="196"/>
      <c r="J47" s="196"/>
      <c r="K47" s="196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2">
        <v>0</v>
      </c>
    </row>
    <row r="48" spans="1:43" ht="10.15" customHeight="1" x14ac:dyDescent="0.25">
      <c r="A48" s="195"/>
      <c r="B48" s="195"/>
      <c r="C48" s="195"/>
      <c r="D48" s="195"/>
      <c r="E48" s="195"/>
      <c r="F48" s="195"/>
      <c r="G48" s="195"/>
      <c r="H48" s="195"/>
      <c r="I48" s="196"/>
      <c r="J48" s="196"/>
      <c r="K48" s="196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2">
        <v>0</v>
      </c>
    </row>
    <row r="49" spans="1:36" ht="10.15" customHeight="1" x14ac:dyDescent="0.25">
      <c r="A49" s="195"/>
      <c r="B49" s="195"/>
      <c r="C49" s="195"/>
      <c r="D49" s="195"/>
      <c r="E49" s="195"/>
      <c r="F49" s="195"/>
      <c r="G49" s="195"/>
      <c r="H49" s="195"/>
      <c r="I49" s="196"/>
      <c r="J49" s="196"/>
      <c r="K49" s="196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2">
        <v>0</v>
      </c>
    </row>
    <row r="50" spans="1:36" ht="10.15" customHeight="1" x14ac:dyDescent="0.25">
      <c r="A50" s="195"/>
      <c r="B50" s="195"/>
      <c r="C50" s="195"/>
      <c r="D50" s="195"/>
      <c r="E50" s="195"/>
      <c r="F50" s="195"/>
      <c r="G50" s="195"/>
      <c r="H50" s="195"/>
      <c r="I50" s="196"/>
      <c r="J50" s="196"/>
      <c r="K50" s="196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2">
        <v>0</v>
      </c>
    </row>
    <row r="51" spans="1:36" ht="78.75" customHeight="1" x14ac:dyDescent="0.25">
      <c r="A51" s="194"/>
      <c r="B51" s="194"/>
      <c r="C51" s="194"/>
      <c r="D51" s="194"/>
      <c r="E51" s="194"/>
      <c r="F51" s="194"/>
      <c r="G51" s="194"/>
      <c r="H51" s="194"/>
      <c r="I51" s="181" t="s">
        <v>165</v>
      </c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60"/>
      <c r="AH51" s="60"/>
      <c r="AI51" s="60"/>
      <c r="AJ51" s="66">
        <f>71.5*AJ2</f>
        <v>5005</v>
      </c>
    </row>
    <row r="52" spans="1:36" ht="81.2" customHeight="1" x14ac:dyDescent="0.25">
      <c r="A52" s="194"/>
      <c r="B52" s="194"/>
      <c r="C52" s="194"/>
      <c r="D52" s="194"/>
      <c r="E52" s="194"/>
      <c r="F52" s="194"/>
      <c r="G52" s="194"/>
      <c r="H52" s="194"/>
      <c r="I52" s="181" t="s">
        <v>166</v>
      </c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60"/>
      <c r="AH52" s="60"/>
      <c r="AI52" s="60"/>
      <c r="AJ52" s="66">
        <f>56.88*AJ2</f>
        <v>3981.6000000000004</v>
      </c>
    </row>
    <row r="53" spans="1:36" ht="90.75" customHeight="1" x14ac:dyDescent="0.25">
      <c r="A53" s="194"/>
      <c r="B53" s="194"/>
      <c r="C53" s="194"/>
      <c r="D53" s="194"/>
      <c r="E53" s="194"/>
      <c r="F53" s="194"/>
      <c r="G53" s="194"/>
      <c r="H53" s="194"/>
      <c r="I53" s="181" t="s">
        <v>167</v>
      </c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60"/>
      <c r="AH53" s="60"/>
      <c r="AI53" s="60"/>
      <c r="AJ53" s="66">
        <f>56.88*AJ2</f>
        <v>3981.6000000000004</v>
      </c>
    </row>
    <row r="54" spans="1:36" ht="92.25" customHeight="1" x14ac:dyDescent="0.25">
      <c r="A54" s="194"/>
      <c r="B54" s="194"/>
      <c r="C54" s="194"/>
      <c r="D54" s="194"/>
      <c r="E54" s="194"/>
      <c r="F54" s="194"/>
      <c r="G54" s="194"/>
      <c r="H54" s="194"/>
      <c r="I54" s="181" t="s">
        <v>168</v>
      </c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60"/>
      <c r="AH54" s="60"/>
      <c r="AI54" s="60"/>
      <c r="AJ54" s="66">
        <f>56.88*AJ2</f>
        <v>3981.6000000000004</v>
      </c>
    </row>
    <row r="55" spans="1:36" ht="10.15" customHeight="1" x14ac:dyDescent="0.25">
      <c r="A55" s="195"/>
      <c r="B55" s="195"/>
      <c r="C55" s="195"/>
      <c r="D55" s="195"/>
      <c r="E55" s="195"/>
      <c r="F55" s="195"/>
      <c r="G55" s="195"/>
      <c r="H55" s="195"/>
      <c r="I55" s="181" t="s">
        <v>127</v>
      </c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 t="s">
        <v>128</v>
      </c>
      <c r="AB55" s="181"/>
      <c r="AC55" s="181"/>
      <c r="AD55" s="181"/>
      <c r="AE55" s="181"/>
      <c r="AF55" s="181"/>
      <c r="AG55" s="191"/>
      <c r="AH55" s="191"/>
      <c r="AI55" s="191"/>
      <c r="AJ55" s="192">
        <f>23.4*AJ2</f>
        <v>1638</v>
      </c>
    </row>
    <row r="56" spans="1:36" ht="10.15" customHeight="1" x14ac:dyDescent="0.25">
      <c r="A56" s="195"/>
      <c r="B56" s="195"/>
      <c r="C56" s="195"/>
      <c r="D56" s="195"/>
      <c r="E56" s="195"/>
      <c r="F56" s="195"/>
      <c r="G56" s="195"/>
      <c r="H56" s="195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91"/>
      <c r="AH56" s="191"/>
      <c r="AI56" s="191"/>
      <c r="AJ56" s="192">
        <v>0</v>
      </c>
    </row>
    <row r="57" spans="1:36" ht="10.15" customHeight="1" x14ac:dyDescent="0.25">
      <c r="A57" s="195"/>
      <c r="B57" s="195"/>
      <c r="C57" s="195"/>
      <c r="D57" s="195"/>
      <c r="E57" s="195"/>
      <c r="F57" s="195"/>
      <c r="G57" s="195"/>
      <c r="H57" s="195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91"/>
      <c r="AH57" s="191"/>
      <c r="AI57" s="191"/>
      <c r="AJ57" s="192">
        <v>0</v>
      </c>
    </row>
    <row r="58" spans="1:36" ht="10.15" customHeight="1" x14ac:dyDescent="0.25">
      <c r="A58" s="195"/>
      <c r="B58" s="195"/>
      <c r="C58" s="195"/>
      <c r="D58" s="195"/>
      <c r="E58" s="195"/>
      <c r="F58" s="195"/>
      <c r="G58" s="195"/>
      <c r="H58" s="195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91"/>
      <c r="AH58" s="191"/>
      <c r="AI58" s="191"/>
      <c r="AJ58" s="192">
        <v>0</v>
      </c>
    </row>
    <row r="59" spans="1:36" ht="10.15" customHeight="1" x14ac:dyDescent="0.25">
      <c r="A59" s="195"/>
      <c r="B59" s="195"/>
      <c r="C59" s="195"/>
      <c r="D59" s="195"/>
      <c r="E59" s="195"/>
      <c r="F59" s="195"/>
      <c r="G59" s="195"/>
      <c r="H59" s="195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91"/>
      <c r="AH59" s="191"/>
      <c r="AI59" s="191"/>
      <c r="AJ59" s="192">
        <v>0</v>
      </c>
    </row>
    <row r="60" spans="1:36" ht="10.15" customHeight="1" x14ac:dyDescent="0.25">
      <c r="A60" s="195"/>
      <c r="B60" s="195"/>
      <c r="C60" s="195"/>
      <c r="D60" s="195"/>
      <c r="E60" s="195"/>
      <c r="F60" s="195"/>
      <c r="G60" s="195"/>
      <c r="H60" s="195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91"/>
      <c r="AH60" s="191"/>
      <c r="AI60" s="191"/>
      <c r="AJ60" s="192">
        <v>0</v>
      </c>
    </row>
    <row r="61" spans="1:36" ht="10.15" customHeight="1" x14ac:dyDescent="0.25">
      <c r="A61" s="195"/>
      <c r="B61" s="195"/>
      <c r="C61" s="195"/>
      <c r="D61" s="195"/>
      <c r="E61" s="195"/>
      <c r="F61" s="195"/>
      <c r="G61" s="195"/>
      <c r="H61" s="195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91"/>
      <c r="AH61" s="191"/>
      <c r="AI61" s="191"/>
      <c r="AJ61" s="192">
        <v>0</v>
      </c>
    </row>
    <row r="62" spans="1:36" ht="10.15" customHeight="1" x14ac:dyDescent="0.25">
      <c r="A62" s="195"/>
      <c r="B62" s="195"/>
      <c r="C62" s="195"/>
      <c r="D62" s="195"/>
      <c r="E62" s="195"/>
      <c r="F62" s="195"/>
      <c r="G62" s="195"/>
      <c r="H62" s="195"/>
      <c r="I62" s="185" t="s">
        <v>129</v>
      </c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1" t="s">
        <v>128</v>
      </c>
      <c r="AB62" s="181"/>
      <c r="AC62" s="181"/>
      <c r="AD62" s="181"/>
      <c r="AE62" s="181"/>
      <c r="AF62" s="181"/>
      <c r="AG62" s="191"/>
      <c r="AH62" s="191"/>
      <c r="AI62" s="191"/>
      <c r="AJ62" s="192">
        <f>35.1*AJ2</f>
        <v>2457</v>
      </c>
    </row>
    <row r="63" spans="1:36" ht="10.15" customHeight="1" x14ac:dyDescent="0.25">
      <c r="A63" s="195"/>
      <c r="B63" s="195"/>
      <c r="C63" s="195"/>
      <c r="D63" s="195"/>
      <c r="E63" s="195"/>
      <c r="F63" s="195"/>
      <c r="G63" s="195"/>
      <c r="H63" s="195"/>
      <c r="I63" s="187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1"/>
      <c r="AB63" s="181"/>
      <c r="AC63" s="181"/>
      <c r="AD63" s="181"/>
      <c r="AE63" s="181"/>
      <c r="AF63" s="181"/>
      <c r="AG63" s="191"/>
      <c r="AH63" s="191"/>
      <c r="AI63" s="191"/>
      <c r="AJ63" s="192">
        <v>0</v>
      </c>
    </row>
    <row r="64" spans="1:36" ht="10.15" customHeight="1" x14ac:dyDescent="0.25">
      <c r="A64" s="195"/>
      <c r="B64" s="195"/>
      <c r="C64" s="195"/>
      <c r="D64" s="195"/>
      <c r="E64" s="195"/>
      <c r="F64" s="195"/>
      <c r="G64" s="195"/>
      <c r="H64" s="195"/>
      <c r="I64" s="187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1"/>
      <c r="AB64" s="181"/>
      <c r="AC64" s="181"/>
      <c r="AD64" s="181"/>
      <c r="AE64" s="181"/>
      <c r="AF64" s="181"/>
      <c r="AG64" s="191"/>
      <c r="AH64" s="191"/>
      <c r="AI64" s="191"/>
      <c r="AJ64" s="192">
        <v>0</v>
      </c>
    </row>
    <row r="65" spans="1:36" ht="10.15" customHeight="1" x14ac:dyDescent="0.25">
      <c r="A65" s="195"/>
      <c r="B65" s="195"/>
      <c r="C65" s="195"/>
      <c r="D65" s="195"/>
      <c r="E65" s="195"/>
      <c r="F65" s="195"/>
      <c r="G65" s="195"/>
      <c r="H65" s="195"/>
      <c r="I65" s="187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1"/>
      <c r="AB65" s="181"/>
      <c r="AC65" s="181"/>
      <c r="AD65" s="181"/>
      <c r="AE65" s="181"/>
      <c r="AF65" s="181"/>
      <c r="AG65" s="191"/>
      <c r="AH65" s="191"/>
      <c r="AI65" s="191"/>
      <c r="AJ65" s="192">
        <v>0</v>
      </c>
    </row>
    <row r="66" spans="1:36" ht="10.15" customHeight="1" x14ac:dyDescent="0.25">
      <c r="A66" s="195"/>
      <c r="B66" s="195"/>
      <c r="C66" s="195"/>
      <c r="D66" s="195"/>
      <c r="E66" s="195"/>
      <c r="F66" s="195"/>
      <c r="G66" s="195"/>
      <c r="H66" s="195"/>
      <c r="I66" s="187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1"/>
      <c r="AB66" s="181"/>
      <c r="AC66" s="181"/>
      <c r="AD66" s="181"/>
      <c r="AE66" s="181"/>
      <c r="AF66" s="181"/>
      <c r="AG66" s="191"/>
      <c r="AH66" s="191"/>
      <c r="AI66" s="191"/>
      <c r="AJ66" s="192">
        <v>0</v>
      </c>
    </row>
    <row r="67" spans="1:36" ht="10.15" customHeight="1" x14ac:dyDescent="0.25">
      <c r="A67" s="195"/>
      <c r="B67" s="195"/>
      <c r="C67" s="195"/>
      <c r="D67" s="195"/>
      <c r="E67" s="195"/>
      <c r="F67" s="195"/>
      <c r="G67" s="195"/>
      <c r="H67" s="195"/>
      <c r="I67" s="187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1"/>
      <c r="AB67" s="181"/>
      <c r="AC67" s="181"/>
      <c r="AD67" s="181"/>
      <c r="AE67" s="181"/>
      <c r="AF67" s="181"/>
      <c r="AG67" s="191"/>
      <c r="AH67" s="191"/>
      <c r="AI67" s="191"/>
      <c r="AJ67" s="192">
        <v>0</v>
      </c>
    </row>
    <row r="68" spans="1:36" ht="10.15" customHeight="1" x14ac:dyDescent="0.25">
      <c r="A68" s="195"/>
      <c r="B68" s="195"/>
      <c r="C68" s="195"/>
      <c r="D68" s="195"/>
      <c r="E68" s="195"/>
      <c r="F68" s="195"/>
      <c r="G68" s="195"/>
      <c r="H68" s="195"/>
      <c r="I68" s="189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81"/>
      <c r="AB68" s="181"/>
      <c r="AC68" s="181"/>
      <c r="AD68" s="181"/>
      <c r="AE68" s="181"/>
      <c r="AF68" s="181"/>
      <c r="AG68" s="191"/>
      <c r="AH68" s="191"/>
      <c r="AI68" s="191"/>
      <c r="AJ68" s="192">
        <v>0</v>
      </c>
    </row>
    <row r="69" spans="1:36" ht="10.15" customHeight="1" x14ac:dyDescent="0.25">
      <c r="A69" s="195"/>
      <c r="B69" s="195"/>
      <c r="C69" s="195"/>
      <c r="D69" s="195"/>
      <c r="E69" s="195"/>
      <c r="F69" s="195"/>
      <c r="G69" s="195"/>
      <c r="H69" s="195"/>
      <c r="I69" s="172" t="s">
        <v>130</v>
      </c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4"/>
      <c r="AA69" s="172" t="s">
        <v>128</v>
      </c>
      <c r="AB69" s="173"/>
      <c r="AC69" s="173"/>
      <c r="AD69" s="173"/>
      <c r="AE69" s="173"/>
      <c r="AF69" s="174"/>
      <c r="AG69" s="191"/>
      <c r="AH69" s="191"/>
      <c r="AI69" s="191"/>
      <c r="AJ69" s="192">
        <f>26.1*AJ2</f>
        <v>1827</v>
      </c>
    </row>
    <row r="70" spans="1:36" ht="10.15" customHeight="1" x14ac:dyDescent="0.25">
      <c r="A70" s="195"/>
      <c r="B70" s="195"/>
      <c r="C70" s="195"/>
      <c r="D70" s="195"/>
      <c r="E70" s="195"/>
      <c r="F70" s="195"/>
      <c r="G70" s="195"/>
      <c r="H70" s="195"/>
      <c r="I70" s="175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7"/>
      <c r="AA70" s="175"/>
      <c r="AB70" s="176"/>
      <c r="AC70" s="176"/>
      <c r="AD70" s="176"/>
      <c r="AE70" s="176"/>
      <c r="AF70" s="177"/>
      <c r="AG70" s="191"/>
      <c r="AH70" s="191"/>
      <c r="AI70" s="191"/>
      <c r="AJ70" s="192">
        <v>0</v>
      </c>
    </row>
    <row r="71" spans="1:36" ht="10.15" customHeight="1" x14ac:dyDescent="0.25">
      <c r="A71" s="195"/>
      <c r="B71" s="195"/>
      <c r="C71" s="195"/>
      <c r="D71" s="195"/>
      <c r="E71" s="195"/>
      <c r="F71" s="195"/>
      <c r="G71" s="195"/>
      <c r="H71" s="195"/>
      <c r="I71" s="175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7"/>
      <c r="AA71" s="175"/>
      <c r="AB71" s="176"/>
      <c r="AC71" s="176"/>
      <c r="AD71" s="176"/>
      <c r="AE71" s="176"/>
      <c r="AF71" s="177"/>
      <c r="AG71" s="191"/>
      <c r="AH71" s="191"/>
      <c r="AI71" s="191"/>
      <c r="AJ71" s="192">
        <v>0</v>
      </c>
    </row>
    <row r="72" spans="1:36" ht="10.15" customHeight="1" x14ac:dyDescent="0.25">
      <c r="A72" s="195"/>
      <c r="B72" s="195"/>
      <c r="C72" s="195"/>
      <c r="D72" s="195"/>
      <c r="E72" s="195"/>
      <c r="F72" s="195"/>
      <c r="G72" s="195"/>
      <c r="H72" s="195"/>
      <c r="I72" s="175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7"/>
      <c r="AA72" s="175"/>
      <c r="AB72" s="176"/>
      <c r="AC72" s="176"/>
      <c r="AD72" s="176"/>
      <c r="AE72" s="176"/>
      <c r="AF72" s="177"/>
      <c r="AG72" s="191"/>
      <c r="AH72" s="191"/>
      <c r="AI72" s="191"/>
      <c r="AJ72" s="192">
        <v>0</v>
      </c>
    </row>
    <row r="73" spans="1:36" ht="10.15" customHeight="1" x14ac:dyDescent="0.25">
      <c r="A73" s="195"/>
      <c r="B73" s="195"/>
      <c r="C73" s="195"/>
      <c r="D73" s="195"/>
      <c r="E73" s="195"/>
      <c r="F73" s="195"/>
      <c r="G73" s="195"/>
      <c r="H73" s="195"/>
      <c r="I73" s="175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7"/>
      <c r="AA73" s="175"/>
      <c r="AB73" s="176"/>
      <c r="AC73" s="176"/>
      <c r="AD73" s="176"/>
      <c r="AE73" s="176"/>
      <c r="AF73" s="177"/>
      <c r="AG73" s="191"/>
      <c r="AH73" s="191"/>
      <c r="AI73" s="191"/>
      <c r="AJ73" s="192">
        <v>0</v>
      </c>
    </row>
    <row r="74" spans="1:36" ht="10.15" customHeight="1" x14ac:dyDescent="0.25">
      <c r="A74" s="195"/>
      <c r="B74" s="195"/>
      <c r="C74" s="195"/>
      <c r="D74" s="195"/>
      <c r="E74" s="195"/>
      <c r="F74" s="195"/>
      <c r="G74" s="195"/>
      <c r="H74" s="195"/>
      <c r="I74" s="175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7"/>
      <c r="AA74" s="175"/>
      <c r="AB74" s="176"/>
      <c r="AC74" s="176"/>
      <c r="AD74" s="176"/>
      <c r="AE74" s="176"/>
      <c r="AF74" s="177"/>
      <c r="AG74" s="191"/>
      <c r="AH74" s="191"/>
      <c r="AI74" s="191"/>
      <c r="AJ74" s="192">
        <v>0</v>
      </c>
    </row>
    <row r="75" spans="1:36" ht="17.25" customHeight="1" x14ac:dyDescent="0.25">
      <c r="A75" s="195"/>
      <c r="B75" s="195"/>
      <c r="C75" s="195"/>
      <c r="D75" s="195"/>
      <c r="E75" s="195"/>
      <c r="F75" s="195"/>
      <c r="G75" s="195"/>
      <c r="H75" s="195"/>
      <c r="I75" s="178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80"/>
      <c r="AA75" s="178"/>
      <c r="AB75" s="179"/>
      <c r="AC75" s="179"/>
      <c r="AD75" s="179"/>
      <c r="AE75" s="179"/>
      <c r="AF75" s="180"/>
      <c r="AG75" s="191"/>
      <c r="AH75" s="191"/>
      <c r="AI75" s="191"/>
      <c r="AJ75" s="192">
        <v>0</v>
      </c>
    </row>
    <row r="76" spans="1:36" ht="9.75" customHeight="1" x14ac:dyDescent="0.25">
      <c r="A76" s="195"/>
      <c r="B76" s="195"/>
      <c r="C76" s="195"/>
      <c r="D76" s="195"/>
      <c r="E76" s="195"/>
      <c r="F76" s="195"/>
      <c r="G76" s="195"/>
      <c r="H76" s="195"/>
      <c r="I76" s="172" t="s">
        <v>131</v>
      </c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4"/>
      <c r="AA76" s="172" t="s">
        <v>128</v>
      </c>
      <c r="AB76" s="173"/>
      <c r="AC76" s="173"/>
      <c r="AD76" s="173"/>
      <c r="AE76" s="173"/>
      <c r="AF76" s="174"/>
      <c r="AG76" s="191"/>
      <c r="AH76" s="191"/>
      <c r="AI76" s="191"/>
      <c r="AJ76" s="192">
        <f>26.1*AJ2</f>
        <v>1827</v>
      </c>
    </row>
    <row r="77" spans="1:36" ht="10.15" customHeight="1" x14ac:dyDescent="0.25">
      <c r="A77" s="195"/>
      <c r="B77" s="195"/>
      <c r="C77" s="195"/>
      <c r="D77" s="195"/>
      <c r="E77" s="195"/>
      <c r="F77" s="195"/>
      <c r="G77" s="195"/>
      <c r="H77" s="195"/>
      <c r="I77" s="175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7"/>
      <c r="AA77" s="175"/>
      <c r="AB77" s="176"/>
      <c r="AC77" s="176"/>
      <c r="AD77" s="176"/>
      <c r="AE77" s="176"/>
      <c r="AF77" s="177"/>
      <c r="AG77" s="191"/>
      <c r="AH77" s="191"/>
      <c r="AI77" s="191"/>
      <c r="AJ77" s="192">
        <v>0</v>
      </c>
    </row>
    <row r="78" spans="1:36" ht="10.15" customHeight="1" x14ac:dyDescent="0.25">
      <c r="A78" s="195"/>
      <c r="B78" s="195"/>
      <c r="C78" s="195"/>
      <c r="D78" s="195"/>
      <c r="E78" s="195"/>
      <c r="F78" s="195"/>
      <c r="G78" s="195"/>
      <c r="H78" s="195"/>
      <c r="I78" s="175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7"/>
      <c r="AA78" s="175"/>
      <c r="AB78" s="176"/>
      <c r="AC78" s="176"/>
      <c r="AD78" s="176"/>
      <c r="AE78" s="176"/>
      <c r="AF78" s="177"/>
      <c r="AG78" s="191"/>
      <c r="AH78" s="191"/>
      <c r="AI78" s="191"/>
      <c r="AJ78" s="192">
        <v>0</v>
      </c>
    </row>
    <row r="79" spans="1:36" ht="10.15" customHeight="1" x14ac:dyDescent="0.25">
      <c r="A79" s="195"/>
      <c r="B79" s="195"/>
      <c r="C79" s="195"/>
      <c r="D79" s="195"/>
      <c r="E79" s="195"/>
      <c r="F79" s="195"/>
      <c r="G79" s="195"/>
      <c r="H79" s="195"/>
      <c r="I79" s="175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7"/>
      <c r="AA79" s="175"/>
      <c r="AB79" s="176"/>
      <c r="AC79" s="176"/>
      <c r="AD79" s="176"/>
      <c r="AE79" s="176"/>
      <c r="AF79" s="177"/>
      <c r="AG79" s="191"/>
      <c r="AH79" s="191"/>
      <c r="AI79" s="191"/>
      <c r="AJ79" s="192">
        <v>0</v>
      </c>
    </row>
    <row r="80" spans="1:36" ht="10.15" customHeight="1" x14ac:dyDescent="0.25">
      <c r="A80" s="195"/>
      <c r="B80" s="195"/>
      <c r="C80" s="195"/>
      <c r="D80" s="195"/>
      <c r="E80" s="195"/>
      <c r="F80" s="195"/>
      <c r="G80" s="195"/>
      <c r="H80" s="195"/>
      <c r="I80" s="175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7"/>
      <c r="AA80" s="175"/>
      <c r="AB80" s="176"/>
      <c r="AC80" s="176"/>
      <c r="AD80" s="176"/>
      <c r="AE80" s="176"/>
      <c r="AF80" s="177"/>
      <c r="AG80" s="191"/>
      <c r="AH80" s="191"/>
      <c r="AI80" s="191"/>
      <c r="AJ80" s="192">
        <v>0</v>
      </c>
    </row>
    <row r="81" spans="1:36" ht="10.15" customHeight="1" x14ac:dyDescent="0.25">
      <c r="A81" s="195"/>
      <c r="B81" s="195"/>
      <c r="C81" s="195"/>
      <c r="D81" s="195"/>
      <c r="E81" s="195"/>
      <c r="F81" s="195"/>
      <c r="G81" s="195"/>
      <c r="H81" s="195"/>
      <c r="I81" s="175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7"/>
      <c r="AA81" s="175"/>
      <c r="AB81" s="176"/>
      <c r="AC81" s="176"/>
      <c r="AD81" s="176"/>
      <c r="AE81" s="176"/>
      <c r="AF81" s="177"/>
      <c r="AG81" s="191"/>
      <c r="AH81" s="191"/>
      <c r="AI81" s="191"/>
      <c r="AJ81" s="192">
        <v>0</v>
      </c>
    </row>
    <row r="82" spans="1:36" ht="27.2" customHeight="1" x14ac:dyDescent="0.25">
      <c r="A82" s="195"/>
      <c r="B82" s="195"/>
      <c r="C82" s="195"/>
      <c r="D82" s="195"/>
      <c r="E82" s="195"/>
      <c r="F82" s="195"/>
      <c r="G82" s="195"/>
      <c r="H82" s="195"/>
      <c r="I82" s="178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80"/>
      <c r="AA82" s="178"/>
      <c r="AB82" s="179"/>
      <c r="AC82" s="179"/>
      <c r="AD82" s="179"/>
      <c r="AE82" s="179"/>
      <c r="AF82" s="180"/>
      <c r="AG82" s="191"/>
      <c r="AH82" s="191"/>
      <c r="AI82" s="191"/>
      <c r="AJ82" s="192">
        <v>0</v>
      </c>
    </row>
    <row r="83" spans="1:36" ht="10.15" customHeight="1" x14ac:dyDescent="0.25">
      <c r="A83" s="195"/>
      <c r="B83" s="195"/>
      <c r="C83" s="195"/>
      <c r="D83" s="195"/>
      <c r="E83" s="195"/>
      <c r="F83" s="195"/>
      <c r="G83" s="195"/>
      <c r="H83" s="195"/>
      <c r="I83" s="172" t="s">
        <v>132</v>
      </c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4"/>
      <c r="AA83" s="181" t="s">
        <v>128</v>
      </c>
      <c r="AB83" s="181"/>
      <c r="AC83" s="181"/>
      <c r="AD83" s="181"/>
      <c r="AE83" s="181"/>
      <c r="AF83" s="181"/>
      <c r="AG83" s="191"/>
      <c r="AH83" s="191"/>
      <c r="AI83" s="191"/>
      <c r="AJ83" s="192">
        <f>31.61*AJ2</f>
        <v>2212.6999999999998</v>
      </c>
    </row>
    <row r="84" spans="1:36" ht="10.15" customHeight="1" x14ac:dyDescent="0.25">
      <c r="A84" s="195"/>
      <c r="B84" s="195"/>
      <c r="C84" s="195"/>
      <c r="D84" s="195"/>
      <c r="E84" s="195"/>
      <c r="F84" s="195"/>
      <c r="G84" s="195"/>
      <c r="H84" s="195"/>
      <c r="I84" s="175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7"/>
      <c r="AA84" s="181"/>
      <c r="AB84" s="181"/>
      <c r="AC84" s="181"/>
      <c r="AD84" s="181"/>
      <c r="AE84" s="181"/>
      <c r="AF84" s="181"/>
      <c r="AG84" s="191"/>
      <c r="AH84" s="191"/>
      <c r="AI84" s="191"/>
      <c r="AJ84" s="192">
        <v>0</v>
      </c>
    </row>
    <row r="85" spans="1:36" ht="10.15" customHeight="1" x14ac:dyDescent="0.25">
      <c r="A85" s="195"/>
      <c r="B85" s="195"/>
      <c r="C85" s="195"/>
      <c r="D85" s="195"/>
      <c r="E85" s="195"/>
      <c r="F85" s="195"/>
      <c r="G85" s="195"/>
      <c r="H85" s="195"/>
      <c r="I85" s="175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7"/>
      <c r="AA85" s="181"/>
      <c r="AB85" s="181"/>
      <c r="AC85" s="181"/>
      <c r="AD85" s="181"/>
      <c r="AE85" s="181"/>
      <c r="AF85" s="181"/>
      <c r="AG85" s="191"/>
      <c r="AH85" s="191"/>
      <c r="AI85" s="191"/>
      <c r="AJ85" s="192">
        <v>0</v>
      </c>
    </row>
    <row r="86" spans="1:36" ht="10.15" customHeight="1" x14ac:dyDescent="0.25">
      <c r="A86" s="195"/>
      <c r="B86" s="195"/>
      <c r="C86" s="195"/>
      <c r="D86" s="195"/>
      <c r="E86" s="195"/>
      <c r="F86" s="195"/>
      <c r="G86" s="195"/>
      <c r="H86" s="195"/>
      <c r="I86" s="175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7"/>
      <c r="AA86" s="181"/>
      <c r="AB86" s="181"/>
      <c r="AC86" s="181"/>
      <c r="AD86" s="181"/>
      <c r="AE86" s="181"/>
      <c r="AF86" s="181"/>
      <c r="AG86" s="191"/>
      <c r="AH86" s="191"/>
      <c r="AI86" s="191"/>
      <c r="AJ86" s="192">
        <v>0</v>
      </c>
    </row>
    <row r="87" spans="1:36" ht="10.15" customHeight="1" x14ac:dyDescent="0.25">
      <c r="A87" s="195"/>
      <c r="B87" s="195"/>
      <c r="C87" s="195"/>
      <c r="D87" s="195"/>
      <c r="E87" s="195"/>
      <c r="F87" s="195"/>
      <c r="G87" s="195"/>
      <c r="H87" s="195"/>
      <c r="I87" s="175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7"/>
      <c r="AA87" s="181"/>
      <c r="AB87" s="181"/>
      <c r="AC87" s="181"/>
      <c r="AD87" s="181"/>
      <c r="AE87" s="181"/>
      <c r="AF87" s="181"/>
      <c r="AG87" s="191"/>
      <c r="AH87" s="191"/>
      <c r="AI87" s="191"/>
      <c r="AJ87" s="192">
        <v>0</v>
      </c>
    </row>
    <row r="88" spans="1:36" ht="10.15" customHeight="1" x14ac:dyDescent="0.25">
      <c r="A88" s="195"/>
      <c r="B88" s="195"/>
      <c r="C88" s="195"/>
      <c r="D88" s="195"/>
      <c r="E88" s="195"/>
      <c r="F88" s="195"/>
      <c r="G88" s="195"/>
      <c r="H88" s="195"/>
      <c r="I88" s="175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7"/>
      <c r="AA88" s="181"/>
      <c r="AB88" s="181"/>
      <c r="AC88" s="181"/>
      <c r="AD88" s="181"/>
      <c r="AE88" s="181"/>
      <c r="AF88" s="181"/>
      <c r="AG88" s="191"/>
      <c r="AH88" s="191"/>
      <c r="AI88" s="191"/>
      <c r="AJ88" s="192">
        <v>0</v>
      </c>
    </row>
    <row r="89" spans="1:36" ht="22.5" customHeight="1" x14ac:dyDescent="0.25">
      <c r="A89" s="195"/>
      <c r="B89" s="195"/>
      <c r="C89" s="195"/>
      <c r="D89" s="195"/>
      <c r="E89" s="195"/>
      <c r="F89" s="195"/>
      <c r="G89" s="195"/>
      <c r="H89" s="195"/>
      <c r="I89" s="178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80"/>
      <c r="AA89" s="181"/>
      <c r="AB89" s="181"/>
      <c r="AC89" s="181"/>
      <c r="AD89" s="181"/>
      <c r="AE89" s="181"/>
      <c r="AF89" s="181"/>
      <c r="AG89" s="191"/>
      <c r="AH89" s="191"/>
      <c r="AI89" s="191"/>
      <c r="AJ89" s="192">
        <v>0</v>
      </c>
    </row>
    <row r="90" spans="1:36" ht="10.15" customHeight="1" x14ac:dyDescent="0.25">
      <c r="A90" s="195"/>
      <c r="B90" s="195"/>
      <c r="C90" s="195"/>
      <c r="D90" s="195"/>
      <c r="E90" s="195"/>
      <c r="F90" s="195"/>
      <c r="G90" s="195"/>
      <c r="H90" s="195"/>
      <c r="I90" s="172" t="s">
        <v>133</v>
      </c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4"/>
      <c r="AA90" s="181" t="s">
        <v>128</v>
      </c>
      <c r="AB90" s="181"/>
      <c r="AC90" s="181"/>
      <c r="AD90" s="181"/>
      <c r="AE90" s="181"/>
      <c r="AF90" s="181"/>
      <c r="AG90" s="191"/>
      <c r="AH90" s="191"/>
      <c r="AI90" s="191"/>
      <c r="AJ90" s="192">
        <f>23.2*AJ2</f>
        <v>1624</v>
      </c>
    </row>
    <row r="91" spans="1:36" ht="10.15" customHeight="1" x14ac:dyDescent="0.25">
      <c r="A91" s="195"/>
      <c r="B91" s="195"/>
      <c r="C91" s="195"/>
      <c r="D91" s="195"/>
      <c r="E91" s="195"/>
      <c r="F91" s="195"/>
      <c r="G91" s="195"/>
      <c r="H91" s="195"/>
      <c r="I91" s="175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7"/>
      <c r="AA91" s="181"/>
      <c r="AB91" s="181"/>
      <c r="AC91" s="181"/>
      <c r="AD91" s="181"/>
      <c r="AE91" s="181"/>
      <c r="AF91" s="181"/>
      <c r="AG91" s="191"/>
      <c r="AH91" s="191"/>
      <c r="AI91" s="191"/>
      <c r="AJ91" s="192">
        <v>0</v>
      </c>
    </row>
    <row r="92" spans="1:36" ht="10.15" customHeight="1" x14ac:dyDescent="0.25">
      <c r="A92" s="195"/>
      <c r="B92" s="195"/>
      <c r="C92" s="195"/>
      <c r="D92" s="195"/>
      <c r="E92" s="195"/>
      <c r="F92" s="195"/>
      <c r="G92" s="195"/>
      <c r="H92" s="195"/>
      <c r="I92" s="175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7"/>
      <c r="AA92" s="181"/>
      <c r="AB92" s="181"/>
      <c r="AC92" s="181"/>
      <c r="AD92" s="181"/>
      <c r="AE92" s="181"/>
      <c r="AF92" s="181"/>
      <c r="AG92" s="191"/>
      <c r="AH92" s="191"/>
      <c r="AI92" s="191"/>
      <c r="AJ92" s="192">
        <v>0</v>
      </c>
    </row>
    <row r="93" spans="1:36" ht="10.15" customHeight="1" x14ac:dyDescent="0.25">
      <c r="A93" s="195"/>
      <c r="B93" s="195"/>
      <c r="C93" s="195"/>
      <c r="D93" s="195"/>
      <c r="E93" s="195"/>
      <c r="F93" s="195"/>
      <c r="G93" s="195"/>
      <c r="H93" s="195"/>
      <c r="I93" s="175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7"/>
      <c r="AA93" s="181"/>
      <c r="AB93" s="181"/>
      <c r="AC93" s="181"/>
      <c r="AD93" s="181"/>
      <c r="AE93" s="181"/>
      <c r="AF93" s="181"/>
      <c r="AG93" s="191"/>
      <c r="AH93" s="191"/>
      <c r="AI93" s="191"/>
      <c r="AJ93" s="192">
        <v>0</v>
      </c>
    </row>
    <row r="94" spans="1:36" ht="10.15" customHeight="1" x14ac:dyDescent="0.25">
      <c r="A94" s="195"/>
      <c r="B94" s="195"/>
      <c r="C94" s="195"/>
      <c r="D94" s="195"/>
      <c r="E94" s="195"/>
      <c r="F94" s="195"/>
      <c r="G94" s="195"/>
      <c r="H94" s="195"/>
      <c r="I94" s="175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7"/>
      <c r="AA94" s="181"/>
      <c r="AB94" s="181"/>
      <c r="AC94" s="181"/>
      <c r="AD94" s="181"/>
      <c r="AE94" s="181"/>
      <c r="AF94" s="181"/>
      <c r="AG94" s="191"/>
      <c r="AH94" s="191"/>
      <c r="AI94" s="191"/>
      <c r="AJ94" s="192">
        <v>0</v>
      </c>
    </row>
    <row r="95" spans="1:36" ht="10.15" customHeight="1" x14ac:dyDescent="0.25">
      <c r="A95" s="195"/>
      <c r="B95" s="195"/>
      <c r="C95" s="195"/>
      <c r="D95" s="195"/>
      <c r="E95" s="195"/>
      <c r="F95" s="195"/>
      <c r="G95" s="195"/>
      <c r="H95" s="195"/>
      <c r="I95" s="175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7"/>
      <c r="AA95" s="181"/>
      <c r="AB95" s="181"/>
      <c r="AC95" s="181"/>
      <c r="AD95" s="181"/>
      <c r="AE95" s="181"/>
      <c r="AF95" s="181"/>
      <c r="AG95" s="191"/>
      <c r="AH95" s="191"/>
      <c r="AI95" s="191"/>
      <c r="AJ95" s="192">
        <v>0</v>
      </c>
    </row>
    <row r="96" spans="1:36" ht="10.15" customHeight="1" x14ac:dyDescent="0.25">
      <c r="A96" s="195"/>
      <c r="B96" s="195"/>
      <c r="C96" s="195"/>
      <c r="D96" s="195"/>
      <c r="E96" s="195"/>
      <c r="F96" s="195"/>
      <c r="G96" s="195"/>
      <c r="H96" s="195"/>
      <c r="I96" s="178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80"/>
      <c r="AA96" s="181"/>
      <c r="AB96" s="181"/>
      <c r="AC96" s="181"/>
      <c r="AD96" s="181"/>
      <c r="AE96" s="181"/>
      <c r="AF96" s="181"/>
      <c r="AG96" s="191"/>
      <c r="AH96" s="191"/>
      <c r="AI96" s="191"/>
      <c r="AJ96" s="192">
        <v>0</v>
      </c>
    </row>
    <row r="97" spans="1:36" ht="10.15" customHeight="1" x14ac:dyDescent="0.25">
      <c r="A97" s="195"/>
      <c r="B97" s="195"/>
      <c r="C97" s="195"/>
      <c r="D97" s="195"/>
      <c r="E97" s="195"/>
      <c r="F97" s="195"/>
      <c r="G97" s="195"/>
      <c r="H97" s="195"/>
      <c r="I97" s="172" t="s">
        <v>134</v>
      </c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4"/>
      <c r="AA97" s="181" t="s">
        <v>128</v>
      </c>
      <c r="AB97" s="181"/>
      <c r="AC97" s="181"/>
      <c r="AD97" s="181"/>
      <c r="AE97" s="181"/>
      <c r="AF97" s="181"/>
      <c r="AG97" s="191"/>
      <c r="AH97" s="191"/>
      <c r="AI97" s="191"/>
      <c r="AJ97" s="192">
        <f>37.69*AJ2</f>
        <v>2638.2999999999997</v>
      </c>
    </row>
    <row r="98" spans="1:36" ht="10.15" customHeight="1" x14ac:dyDescent="0.25">
      <c r="A98" s="195"/>
      <c r="B98" s="195"/>
      <c r="C98" s="195"/>
      <c r="D98" s="195"/>
      <c r="E98" s="195"/>
      <c r="F98" s="195"/>
      <c r="G98" s="195"/>
      <c r="H98" s="195"/>
      <c r="I98" s="175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7"/>
      <c r="AA98" s="181"/>
      <c r="AB98" s="181"/>
      <c r="AC98" s="181"/>
      <c r="AD98" s="181"/>
      <c r="AE98" s="181"/>
      <c r="AF98" s="181"/>
      <c r="AG98" s="191"/>
      <c r="AH98" s="191"/>
      <c r="AI98" s="191"/>
      <c r="AJ98" s="192">
        <v>0</v>
      </c>
    </row>
    <row r="99" spans="1:36" ht="10.15" customHeight="1" x14ac:dyDescent="0.25">
      <c r="A99" s="195"/>
      <c r="B99" s="195"/>
      <c r="C99" s="195"/>
      <c r="D99" s="195"/>
      <c r="E99" s="195"/>
      <c r="F99" s="195"/>
      <c r="G99" s="195"/>
      <c r="H99" s="195"/>
      <c r="I99" s="175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7"/>
      <c r="AA99" s="181"/>
      <c r="AB99" s="181"/>
      <c r="AC99" s="181"/>
      <c r="AD99" s="181"/>
      <c r="AE99" s="181"/>
      <c r="AF99" s="181"/>
      <c r="AG99" s="191"/>
      <c r="AH99" s="191"/>
      <c r="AI99" s="191"/>
      <c r="AJ99" s="192">
        <v>0</v>
      </c>
    </row>
    <row r="100" spans="1:36" ht="10.15" customHeight="1" x14ac:dyDescent="0.25">
      <c r="A100" s="195"/>
      <c r="B100" s="195"/>
      <c r="C100" s="195"/>
      <c r="D100" s="195"/>
      <c r="E100" s="195"/>
      <c r="F100" s="195"/>
      <c r="G100" s="195"/>
      <c r="H100" s="195"/>
      <c r="I100" s="175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7"/>
      <c r="AA100" s="181"/>
      <c r="AB100" s="181"/>
      <c r="AC100" s="181"/>
      <c r="AD100" s="181"/>
      <c r="AE100" s="181"/>
      <c r="AF100" s="181"/>
      <c r="AG100" s="191"/>
      <c r="AH100" s="191"/>
      <c r="AI100" s="191"/>
      <c r="AJ100" s="192">
        <v>0</v>
      </c>
    </row>
    <row r="101" spans="1:36" ht="10.15" customHeight="1" x14ac:dyDescent="0.25">
      <c r="A101" s="195"/>
      <c r="B101" s="195"/>
      <c r="C101" s="195"/>
      <c r="D101" s="195"/>
      <c r="E101" s="195"/>
      <c r="F101" s="195"/>
      <c r="G101" s="195"/>
      <c r="H101" s="195"/>
      <c r="I101" s="175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7"/>
      <c r="AA101" s="181"/>
      <c r="AB101" s="181"/>
      <c r="AC101" s="181"/>
      <c r="AD101" s="181"/>
      <c r="AE101" s="181"/>
      <c r="AF101" s="181"/>
      <c r="AG101" s="191"/>
      <c r="AH101" s="191"/>
      <c r="AI101" s="191"/>
      <c r="AJ101" s="192">
        <v>0</v>
      </c>
    </row>
    <row r="102" spans="1:36" ht="10.15" customHeight="1" x14ac:dyDescent="0.25">
      <c r="A102" s="195"/>
      <c r="B102" s="195"/>
      <c r="C102" s="195"/>
      <c r="D102" s="195"/>
      <c r="E102" s="195"/>
      <c r="F102" s="195"/>
      <c r="G102" s="195"/>
      <c r="H102" s="195"/>
      <c r="I102" s="175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7"/>
      <c r="AA102" s="181"/>
      <c r="AB102" s="181"/>
      <c r="AC102" s="181"/>
      <c r="AD102" s="181"/>
      <c r="AE102" s="181"/>
      <c r="AF102" s="181"/>
      <c r="AG102" s="191"/>
      <c r="AH102" s="191"/>
      <c r="AI102" s="191"/>
      <c r="AJ102" s="192">
        <v>0</v>
      </c>
    </row>
    <row r="103" spans="1:36" ht="10.15" customHeight="1" x14ac:dyDescent="0.25">
      <c r="A103" s="195"/>
      <c r="B103" s="195"/>
      <c r="C103" s="195"/>
      <c r="D103" s="195"/>
      <c r="E103" s="195"/>
      <c r="F103" s="195"/>
      <c r="G103" s="195"/>
      <c r="H103" s="195"/>
      <c r="I103" s="178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80"/>
      <c r="AA103" s="181"/>
      <c r="AB103" s="181"/>
      <c r="AC103" s="181"/>
      <c r="AD103" s="181"/>
      <c r="AE103" s="181"/>
      <c r="AF103" s="181"/>
      <c r="AG103" s="191"/>
      <c r="AH103" s="191"/>
      <c r="AI103" s="191"/>
      <c r="AJ103" s="192">
        <v>0</v>
      </c>
    </row>
    <row r="104" spans="1:36" ht="10.15" customHeight="1" x14ac:dyDescent="0.25">
      <c r="A104" s="195"/>
      <c r="B104" s="195"/>
      <c r="C104" s="195"/>
      <c r="D104" s="195"/>
      <c r="E104" s="195"/>
      <c r="F104" s="195"/>
      <c r="G104" s="195"/>
      <c r="H104" s="195"/>
      <c r="I104" s="172" t="s">
        <v>205</v>
      </c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81" t="s">
        <v>128</v>
      </c>
      <c r="AB104" s="181"/>
      <c r="AC104" s="181"/>
      <c r="AD104" s="181"/>
      <c r="AE104" s="181"/>
      <c r="AF104" s="181"/>
      <c r="AG104" s="191"/>
      <c r="AH104" s="191"/>
      <c r="AI104" s="191"/>
      <c r="AJ104" s="182">
        <v>237</v>
      </c>
    </row>
    <row r="105" spans="1:36" ht="10.15" customHeight="1" x14ac:dyDescent="0.25">
      <c r="A105" s="195"/>
      <c r="B105" s="195"/>
      <c r="C105" s="195"/>
      <c r="D105" s="195"/>
      <c r="E105" s="195"/>
      <c r="F105" s="195"/>
      <c r="G105" s="195"/>
      <c r="H105" s="195"/>
      <c r="I105" s="175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81"/>
      <c r="AB105" s="181"/>
      <c r="AC105" s="181"/>
      <c r="AD105" s="181"/>
      <c r="AE105" s="181"/>
      <c r="AF105" s="181"/>
      <c r="AG105" s="191"/>
      <c r="AH105" s="191"/>
      <c r="AI105" s="191"/>
      <c r="AJ105" s="183"/>
    </row>
    <row r="106" spans="1:36" ht="10.15" customHeight="1" x14ac:dyDescent="0.25">
      <c r="A106" s="195"/>
      <c r="B106" s="195"/>
      <c r="C106" s="195"/>
      <c r="D106" s="195"/>
      <c r="E106" s="195"/>
      <c r="F106" s="195"/>
      <c r="G106" s="195"/>
      <c r="H106" s="195"/>
      <c r="I106" s="175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81"/>
      <c r="AB106" s="181"/>
      <c r="AC106" s="181"/>
      <c r="AD106" s="181"/>
      <c r="AE106" s="181"/>
      <c r="AF106" s="181"/>
      <c r="AG106" s="191"/>
      <c r="AH106" s="191"/>
      <c r="AI106" s="191"/>
      <c r="AJ106" s="183"/>
    </row>
    <row r="107" spans="1:36" ht="10.15" customHeight="1" x14ac:dyDescent="0.25">
      <c r="A107" s="195"/>
      <c r="B107" s="195"/>
      <c r="C107" s="195"/>
      <c r="D107" s="195"/>
      <c r="E107" s="195"/>
      <c r="F107" s="195"/>
      <c r="G107" s="195"/>
      <c r="H107" s="195"/>
      <c r="I107" s="175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81"/>
      <c r="AB107" s="181"/>
      <c r="AC107" s="181"/>
      <c r="AD107" s="181"/>
      <c r="AE107" s="181"/>
      <c r="AF107" s="181"/>
      <c r="AG107" s="191"/>
      <c r="AH107" s="191"/>
      <c r="AI107" s="191"/>
      <c r="AJ107" s="183"/>
    </row>
    <row r="108" spans="1:36" ht="10.15" customHeight="1" x14ac:dyDescent="0.25">
      <c r="A108" s="195"/>
      <c r="B108" s="195"/>
      <c r="C108" s="195"/>
      <c r="D108" s="195"/>
      <c r="E108" s="195"/>
      <c r="F108" s="195"/>
      <c r="G108" s="195"/>
      <c r="H108" s="195"/>
      <c r="I108" s="175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81"/>
      <c r="AB108" s="181"/>
      <c r="AC108" s="181"/>
      <c r="AD108" s="181"/>
      <c r="AE108" s="181"/>
      <c r="AF108" s="181"/>
      <c r="AG108" s="191"/>
      <c r="AH108" s="191"/>
      <c r="AI108" s="191"/>
      <c r="AJ108" s="183"/>
    </row>
    <row r="109" spans="1:36" ht="10.15" customHeight="1" x14ac:dyDescent="0.25">
      <c r="A109" s="195"/>
      <c r="B109" s="195"/>
      <c r="C109" s="195"/>
      <c r="D109" s="195"/>
      <c r="E109" s="195"/>
      <c r="F109" s="195"/>
      <c r="G109" s="195"/>
      <c r="H109" s="195"/>
      <c r="I109" s="175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81"/>
      <c r="AB109" s="181"/>
      <c r="AC109" s="181"/>
      <c r="AD109" s="181"/>
      <c r="AE109" s="181"/>
      <c r="AF109" s="181"/>
      <c r="AG109" s="191"/>
      <c r="AH109" s="191"/>
      <c r="AI109" s="191"/>
      <c r="AJ109" s="183"/>
    </row>
    <row r="110" spans="1:36" ht="10.15" customHeight="1" x14ac:dyDescent="0.25">
      <c r="A110" s="195"/>
      <c r="B110" s="195"/>
      <c r="C110" s="195"/>
      <c r="D110" s="195"/>
      <c r="E110" s="195"/>
      <c r="F110" s="195"/>
      <c r="G110" s="195"/>
      <c r="H110" s="195"/>
      <c r="I110" s="175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81"/>
      <c r="AB110" s="181"/>
      <c r="AC110" s="181"/>
      <c r="AD110" s="181"/>
      <c r="AE110" s="181"/>
      <c r="AF110" s="181"/>
      <c r="AG110" s="191"/>
      <c r="AH110" s="191"/>
      <c r="AI110" s="191"/>
      <c r="AJ110" s="183"/>
    </row>
    <row r="111" spans="1:36" ht="10.15" customHeight="1" x14ac:dyDescent="0.25">
      <c r="A111" s="195"/>
      <c r="B111" s="195"/>
      <c r="C111" s="195"/>
      <c r="D111" s="195"/>
      <c r="E111" s="195"/>
      <c r="F111" s="195"/>
      <c r="G111" s="195"/>
      <c r="H111" s="195"/>
      <c r="I111" s="175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81"/>
      <c r="AB111" s="181"/>
      <c r="AC111" s="181"/>
      <c r="AD111" s="181"/>
      <c r="AE111" s="181"/>
      <c r="AF111" s="181"/>
      <c r="AG111" s="191"/>
      <c r="AH111" s="191"/>
      <c r="AI111" s="191"/>
      <c r="AJ111" s="183"/>
    </row>
    <row r="112" spans="1:36" ht="10.15" customHeight="1" x14ac:dyDescent="0.25">
      <c r="A112" s="195"/>
      <c r="B112" s="195"/>
      <c r="C112" s="195"/>
      <c r="D112" s="195"/>
      <c r="E112" s="195"/>
      <c r="F112" s="195"/>
      <c r="G112" s="195"/>
      <c r="H112" s="195"/>
      <c r="I112" s="175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81"/>
      <c r="AB112" s="181"/>
      <c r="AC112" s="181"/>
      <c r="AD112" s="181"/>
      <c r="AE112" s="181"/>
      <c r="AF112" s="181"/>
      <c r="AG112" s="191"/>
      <c r="AH112" s="191"/>
      <c r="AI112" s="191"/>
      <c r="AJ112" s="183"/>
    </row>
    <row r="113" spans="1:36" ht="10.15" customHeight="1" x14ac:dyDescent="0.25">
      <c r="A113" s="195"/>
      <c r="B113" s="195"/>
      <c r="C113" s="195"/>
      <c r="D113" s="195"/>
      <c r="E113" s="195"/>
      <c r="F113" s="195"/>
      <c r="G113" s="195"/>
      <c r="H113" s="195"/>
      <c r="I113" s="175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81"/>
      <c r="AB113" s="181"/>
      <c r="AC113" s="181"/>
      <c r="AD113" s="181"/>
      <c r="AE113" s="181"/>
      <c r="AF113" s="181"/>
      <c r="AG113" s="191"/>
      <c r="AH113" s="191"/>
      <c r="AI113" s="191"/>
      <c r="AJ113" s="183"/>
    </row>
    <row r="114" spans="1:36" ht="10.15" customHeight="1" x14ac:dyDescent="0.25">
      <c r="A114" s="195"/>
      <c r="B114" s="195"/>
      <c r="C114" s="195"/>
      <c r="D114" s="195"/>
      <c r="E114" s="195"/>
      <c r="F114" s="195"/>
      <c r="G114" s="195"/>
      <c r="H114" s="195"/>
      <c r="I114" s="175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81"/>
      <c r="AB114" s="181"/>
      <c r="AC114" s="181"/>
      <c r="AD114" s="181"/>
      <c r="AE114" s="181"/>
      <c r="AF114" s="181"/>
      <c r="AG114" s="191"/>
      <c r="AH114" s="191"/>
      <c r="AI114" s="191"/>
      <c r="AJ114" s="183"/>
    </row>
    <row r="115" spans="1:36" ht="10.15" customHeight="1" x14ac:dyDescent="0.25">
      <c r="A115" s="195"/>
      <c r="B115" s="195"/>
      <c r="C115" s="195"/>
      <c r="D115" s="195"/>
      <c r="E115" s="195"/>
      <c r="F115" s="195"/>
      <c r="G115" s="195"/>
      <c r="H115" s="195"/>
      <c r="I115" s="175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81"/>
      <c r="AB115" s="181"/>
      <c r="AC115" s="181"/>
      <c r="AD115" s="181"/>
      <c r="AE115" s="181"/>
      <c r="AF115" s="181"/>
      <c r="AG115" s="191"/>
      <c r="AH115" s="191"/>
      <c r="AI115" s="191"/>
      <c r="AJ115" s="183"/>
    </row>
    <row r="116" spans="1:36" ht="10.15" customHeight="1" x14ac:dyDescent="0.25">
      <c r="A116" s="195"/>
      <c r="B116" s="195"/>
      <c r="C116" s="195"/>
      <c r="D116" s="195"/>
      <c r="E116" s="195"/>
      <c r="F116" s="195"/>
      <c r="G116" s="195"/>
      <c r="H116" s="195"/>
      <c r="I116" s="175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81"/>
      <c r="AB116" s="181"/>
      <c r="AC116" s="181"/>
      <c r="AD116" s="181"/>
      <c r="AE116" s="181"/>
      <c r="AF116" s="181"/>
      <c r="AG116" s="191"/>
      <c r="AH116" s="191"/>
      <c r="AI116" s="191"/>
      <c r="AJ116" s="183"/>
    </row>
    <row r="117" spans="1:36" ht="10.15" customHeight="1" x14ac:dyDescent="0.25">
      <c r="A117" s="195"/>
      <c r="B117" s="195"/>
      <c r="C117" s="195"/>
      <c r="D117" s="195"/>
      <c r="E117" s="195"/>
      <c r="F117" s="195"/>
      <c r="G117" s="195"/>
      <c r="H117" s="195"/>
      <c r="I117" s="178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81"/>
      <c r="AB117" s="181"/>
      <c r="AC117" s="181"/>
      <c r="AD117" s="181"/>
      <c r="AE117" s="181"/>
      <c r="AF117" s="181"/>
      <c r="AG117" s="191"/>
      <c r="AH117" s="191"/>
      <c r="AI117" s="191"/>
      <c r="AJ117" s="184"/>
    </row>
    <row r="118" spans="1:36" ht="10.15" customHeight="1" x14ac:dyDescent="0.25">
      <c r="A118" s="195"/>
      <c r="B118" s="195"/>
      <c r="C118" s="195"/>
      <c r="D118" s="195"/>
      <c r="E118" s="195"/>
      <c r="F118" s="195"/>
      <c r="G118" s="195"/>
      <c r="H118" s="195"/>
      <c r="I118" s="172" t="s">
        <v>214</v>
      </c>
      <c r="J118" s="173"/>
      <c r="K118" s="173"/>
      <c r="L118" s="173"/>
      <c r="M118" s="173"/>
      <c r="N118" s="173"/>
      <c r="O118" s="173"/>
      <c r="P118" s="173"/>
      <c r="Q118" s="173"/>
      <c r="R118" s="174"/>
      <c r="S118" s="181" t="s">
        <v>213</v>
      </c>
      <c r="T118" s="181"/>
      <c r="U118" s="181"/>
      <c r="V118" s="181"/>
      <c r="W118" s="181"/>
      <c r="X118" s="181"/>
      <c r="Y118" s="181"/>
      <c r="Z118" s="181"/>
      <c r="AA118" s="181" t="s">
        <v>136</v>
      </c>
      <c r="AB118" s="181"/>
      <c r="AC118" s="181"/>
      <c r="AD118" s="181"/>
      <c r="AE118" s="181"/>
      <c r="AF118" s="181"/>
      <c r="AG118" s="191"/>
      <c r="AH118" s="191"/>
      <c r="AI118" s="191"/>
      <c r="AJ118" s="192">
        <v>38</v>
      </c>
    </row>
    <row r="119" spans="1:36" ht="10.15" customHeight="1" x14ac:dyDescent="0.25">
      <c r="A119" s="195"/>
      <c r="B119" s="195"/>
      <c r="C119" s="195"/>
      <c r="D119" s="195"/>
      <c r="E119" s="195"/>
      <c r="F119" s="195"/>
      <c r="G119" s="195"/>
      <c r="H119" s="195"/>
      <c r="I119" s="175"/>
      <c r="J119" s="176"/>
      <c r="K119" s="176"/>
      <c r="L119" s="176"/>
      <c r="M119" s="176"/>
      <c r="N119" s="176"/>
      <c r="O119" s="176"/>
      <c r="P119" s="176"/>
      <c r="Q119" s="176"/>
      <c r="R119" s="177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91"/>
      <c r="AH119" s="191"/>
      <c r="AI119" s="191"/>
      <c r="AJ119" s="192">
        <v>0</v>
      </c>
    </row>
    <row r="120" spans="1:36" ht="10.15" customHeight="1" x14ac:dyDescent="0.25">
      <c r="A120" s="195"/>
      <c r="B120" s="195"/>
      <c r="C120" s="195"/>
      <c r="D120" s="195"/>
      <c r="E120" s="195"/>
      <c r="F120" s="195"/>
      <c r="G120" s="195"/>
      <c r="H120" s="195"/>
      <c r="I120" s="175"/>
      <c r="J120" s="176"/>
      <c r="K120" s="176"/>
      <c r="L120" s="176"/>
      <c r="M120" s="176"/>
      <c r="N120" s="176"/>
      <c r="O120" s="176"/>
      <c r="P120" s="176"/>
      <c r="Q120" s="176"/>
      <c r="R120" s="177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91"/>
      <c r="AH120" s="191"/>
      <c r="AI120" s="191"/>
      <c r="AJ120" s="192">
        <v>0</v>
      </c>
    </row>
    <row r="121" spans="1:36" ht="10.15" customHeight="1" x14ac:dyDescent="0.25">
      <c r="A121" s="195"/>
      <c r="B121" s="195"/>
      <c r="C121" s="195"/>
      <c r="D121" s="195"/>
      <c r="E121" s="195"/>
      <c r="F121" s="195"/>
      <c r="G121" s="195"/>
      <c r="H121" s="195"/>
      <c r="I121" s="175"/>
      <c r="J121" s="176"/>
      <c r="K121" s="176"/>
      <c r="L121" s="176"/>
      <c r="M121" s="176"/>
      <c r="N121" s="176"/>
      <c r="O121" s="176"/>
      <c r="P121" s="176"/>
      <c r="Q121" s="176"/>
      <c r="R121" s="177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91"/>
      <c r="AH121" s="191"/>
      <c r="AI121" s="191"/>
      <c r="AJ121" s="192">
        <v>0</v>
      </c>
    </row>
    <row r="122" spans="1:36" ht="10.15" customHeight="1" x14ac:dyDescent="0.25">
      <c r="A122" s="195"/>
      <c r="B122" s="195"/>
      <c r="C122" s="195"/>
      <c r="D122" s="195"/>
      <c r="E122" s="195"/>
      <c r="F122" s="195"/>
      <c r="G122" s="195"/>
      <c r="H122" s="195"/>
      <c r="I122" s="175"/>
      <c r="J122" s="176"/>
      <c r="K122" s="176"/>
      <c r="L122" s="176"/>
      <c r="M122" s="176"/>
      <c r="N122" s="176"/>
      <c r="O122" s="176"/>
      <c r="P122" s="176"/>
      <c r="Q122" s="176"/>
      <c r="R122" s="177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91"/>
      <c r="AH122" s="191"/>
      <c r="AI122" s="191"/>
      <c r="AJ122" s="192">
        <v>0</v>
      </c>
    </row>
    <row r="123" spans="1:36" ht="10.15" customHeight="1" x14ac:dyDescent="0.25">
      <c r="A123" s="195"/>
      <c r="B123" s="195"/>
      <c r="C123" s="195"/>
      <c r="D123" s="195"/>
      <c r="E123" s="195"/>
      <c r="F123" s="195"/>
      <c r="G123" s="195"/>
      <c r="H123" s="195"/>
      <c r="I123" s="175"/>
      <c r="J123" s="176"/>
      <c r="K123" s="176"/>
      <c r="L123" s="176"/>
      <c r="M123" s="176"/>
      <c r="N123" s="176"/>
      <c r="O123" s="176"/>
      <c r="P123" s="176"/>
      <c r="Q123" s="176"/>
      <c r="R123" s="177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91"/>
      <c r="AH123" s="191"/>
      <c r="AI123" s="191"/>
      <c r="AJ123" s="192">
        <v>0</v>
      </c>
    </row>
    <row r="124" spans="1:36" ht="10.15" customHeight="1" x14ac:dyDescent="0.25">
      <c r="A124" s="195"/>
      <c r="B124" s="195"/>
      <c r="C124" s="195"/>
      <c r="D124" s="195"/>
      <c r="E124" s="195"/>
      <c r="F124" s="195"/>
      <c r="G124" s="195"/>
      <c r="H124" s="195"/>
      <c r="I124" s="178"/>
      <c r="J124" s="179"/>
      <c r="K124" s="179"/>
      <c r="L124" s="179"/>
      <c r="M124" s="179"/>
      <c r="N124" s="179"/>
      <c r="O124" s="179"/>
      <c r="P124" s="179"/>
      <c r="Q124" s="179"/>
      <c r="R124" s="180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91"/>
      <c r="AH124" s="191"/>
      <c r="AI124" s="191"/>
      <c r="AJ124" s="192">
        <v>0</v>
      </c>
    </row>
    <row r="125" spans="1:36" ht="10.15" customHeight="1" x14ac:dyDescent="0.25">
      <c r="A125" s="195"/>
      <c r="B125" s="195"/>
      <c r="C125" s="195"/>
      <c r="D125" s="195"/>
      <c r="E125" s="195"/>
      <c r="F125" s="195"/>
      <c r="G125" s="195"/>
      <c r="H125" s="195"/>
      <c r="I125" s="172" t="s">
        <v>216</v>
      </c>
      <c r="J125" s="173"/>
      <c r="K125" s="173"/>
      <c r="L125" s="173"/>
      <c r="M125" s="173"/>
      <c r="N125" s="173"/>
      <c r="O125" s="173"/>
      <c r="P125" s="173"/>
      <c r="Q125" s="173"/>
      <c r="R125" s="174"/>
      <c r="S125" s="181" t="s">
        <v>215</v>
      </c>
      <c r="T125" s="181"/>
      <c r="U125" s="181"/>
      <c r="V125" s="181"/>
      <c r="W125" s="181"/>
      <c r="X125" s="181"/>
      <c r="Y125" s="181"/>
      <c r="Z125" s="181"/>
      <c r="AA125" s="181" t="s">
        <v>136</v>
      </c>
      <c r="AB125" s="181"/>
      <c r="AC125" s="181"/>
      <c r="AD125" s="181"/>
      <c r="AE125" s="181"/>
      <c r="AF125" s="181"/>
      <c r="AG125" s="191"/>
      <c r="AH125" s="191"/>
      <c r="AI125" s="191"/>
      <c r="AJ125" s="192">
        <v>135</v>
      </c>
    </row>
    <row r="126" spans="1:36" ht="10.15" customHeight="1" x14ac:dyDescent="0.25">
      <c r="A126" s="195"/>
      <c r="B126" s="195"/>
      <c r="C126" s="195"/>
      <c r="D126" s="195"/>
      <c r="E126" s="195"/>
      <c r="F126" s="195"/>
      <c r="G126" s="195"/>
      <c r="H126" s="195"/>
      <c r="I126" s="175"/>
      <c r="J126" s="176"/>
      <c r="K126" s="176"/>
      <c r="L126" s="176"/>
      <c r="M126" s="176"/>
      <c r="N126" s="176"/>
      <c r="O126" s="176"/>
      <c r="P126" s="176"/>
      <c r="Q126" s="176"/>
      <c r="R126" s="177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91"/>
      <c r="AH126" s="191"/>
      <c r="AI126" s="191"/>
      <c r="AJ126" s="192">
        <v>0</v>
      </c>
    </row>
    <row r="127" spans="1:36" ht="10.15" customHeight="1" x14ac:dyDescent="0.25">
      <c r="A127" s="195"/>
      <c r="B127" s="195"/>
      <c r="C127" s="195"/>
      <c r="D127" s="195"/>
      <c r="E127" s="195"/>
      <c r="F127" s="195"/>
      <c r="G127" s="195"/>
      <c r="H127" s="195"/>
      <c r="I127" s="175"/>
      <c r="J127" s="176"/>
      <c r="K127" s="176"/>
      <c r="L127" s="176"/>
      <c r="M127" s="176"/>
      <c r="N127" s="176"/>
      <c r="O127" s="176"/>
      <c r="P127" s="176"/>
      <c r="Q127" s="176"/>
      <c r="R127" s="177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91"/>
      <c r="AH127" s="191"/>
      <c r="AI127" s="191"/>
      <c r="AJ127" s="192">
        <v>0</v>
      </c>
    </row>
    <row r="128" spans="1:36" ht="10.15" customHeight="1" x14ac:dyDescent="0.25">
      <c r="A128" s="195"/>
      <c r="B128" s="195"/>
      <c r="C128" s="195"/>
      <c r="D128" s="195"/>
      <c r="E128" s="195"/>
      <c r="F128" s="195"/>
      <c r="G128" s="195"/>
      <c r="H128" s="195"/>
      <c r="I128" s="175"/>
      <c r="J128" s="176"/>
      <c r="K128" s="176"/>
      <c r="L128" s="176"/>
      <c r="M128" s="176"/>
      <c r="N128" s="176"/>
      <c r="O128" s="176"/>
      <c r="P128" s="176"/>
      <c r="Q128" s="176"/>
      <c r="R128" s="177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91"/>
      <c r="AH128" s="191"/>
      <c r="AI128" s="191"/>
      <c r="AJ128" s="192">
        <v>0</v>
      </c>
    </row>
    <row r="129" spans="1:36" ht="10.15" customHeight="1" x14ac:dyDescent="0.25">
      <c r="A129" s="195"/>
      <c r="B129" s="195"/>
      <c r="C129" s="195"/>
      <c r="D129" s="195"/>
      <c r="E129" s="195"/>
      <c r="F129" s="195"/>
      <c r="G129" s="195"/>
      <c r="H129" s="195"/>
      <c r="I129" s="175"/>
      <c r="J129" s="176"/>
      <c r="K129" s="176"/>
      <c r="L129" s="176"/>
      <c r="M129" s="176"/>
      <c r="N129" s="176"/>
      <c r="O129" s="176"/>
      <c r="P129" s="176"/>
      <c r="Q129" s="176"/>
      <c r="R129" s="177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91"/>
      <c r="AH129" s="191"/>
      <c r="AI129" s="191"/>
      <c r="AJ129" s="192">
        <v>0</v>
      </c>
    </row>
    <row r="130" spans="1:36" ht="10.15" customHeight="1" x14ac:dyDescent="0.25">
      <c r="A130" s="195"/>
      <c r="B130" s="195"/>
      <c r="C130" s="195"/>
      <c r="D130" s="195"/>
      <c r="E130" s="195"/>
      <c r="F130" s="195"/>
      <c r="G130" s="195"/>
      <c r="H130" s="195"/>
      <c r="I130" s="175"/>
      <c r="J130" s="176"/>
      <c r="K130" s="176"/>
      <c r="L130" s="176"/>
      <c r="M130" s="176"/>
      <c r="N130" s="176"/>
      <c r="O130" s="176"/>
      <c r="P130" s="176"/>
      <c r="Q130" s="176"/>
      <c r="R130" s="177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91"/>
      <c r="AH130" s="191"/>
      <c r="AI130" s="191"/>
      <c r="AJ130" s="192">
        <v>0</v>
      </c>
    </row>
    <row r="131" spans="1:36" ht="13.5" customHeight="1" x14ac:dyDescent="0.25">
      <c r="A131" s="195"/>
      <c r="B131" s="195"/>
      <c r="C131" s="195"/>
      <c r="D131" s="195"/>
      <c r="E131" s="195"/>
      <c r="F131" s="195"/>
      <c r="G131" s="195"/>
      <c r="H131" s="195"/>
      <c r="I131" s="178"/>
      <c r="J131" s="179"/>
      <c r="K131" s="179"/>
      <c r="L131" s="179"/>
      <c r="M131" s="179"/>
      <c r="N131" s="179"/>
      <c r="O131" s="179"/>
      <c r="P131" s="179"/>
      <c r="Q131" s="179"/>
      <c r="R131" s="180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91"/>
      <c r="AH131" s="191"/>
      <c r="AI131" s="191"/>
      <c r="AJ131" s="192">
        <v>0</v>
      </c>
    </row>
    <row r="132" spans="1:36" ht="10.15" customHeight="1" x14ac:dyDescent="0.25">
      <c r="A132" s="195"/>
      <c r="B132" s="195"/>
      <c r="C132" s="195"/>
      <c r="D132" s="195"/>
      <c r="E132" s="195"/>
      <c r="F132" s="195"/>
      <c r="G132" s="195"/>
      <c r="H132" s="195"/>
      <c r="I132" s="172" t="s">
        <v>216</v>
      </c>
      <c r="J132" s="173"/>
      <c r="K132" s="173"/>
      <c r="L132" s="173"/>
      <c r="M132" s="173"/>
      <c r="N132" s="173"/>
      <c r="O132" s="173"/>
      <c r="P132" s="173"/>
      <c r="Q132" s="173"/>
      <c r="R132" s="174"/>
      <c r="S132" s="181" t="s">
        <v>215</v>
      </c>
      <c r="T132" s="181"/>
      <c r="U132" s="181"/>
      <c r="V132" s="181"/>
      <c r="W132" s="181"/>
      <c r="X132" s="181"/>
      <c r="Y132" s="181"/>
      <c r="Z132" s="181"/>
      <c r="AA132" s="181" t="s">
        <v>136</v>
      </c>
      <c r="AB132" s="181"/>
      <c r="AC132" s="181"/>
      <c r="AD132" s="181"/>
      <c r="AE132" s="181"/>
      <c r="AF132" s="181"/>
      <c r="AG132" s="191"/>
      <c r="AH132" s="191"/>
      <c r="AI132" s="191"/>
      <c r="AJ132" s="192">
        <v>20</v>
      </c>
    </row>
    <row r="133" spans="1:36" ht="10.15" customHeight="1" x14ac:dyDescent="0.25">
      <c r="A133" s="195"/>
      <c r="B133" s="195"/>
      <c r="C133" s="195"/>
      <c r="D133" s="195"/>
      <c r="E133" s="195"/>
      <c r="F133" s="195"/>
      <c r="G133" s="195"/>
      <c r="H133" s="195"/>
      <c r="I133" s="175"/>
      <c r="J133" s="176"/>
      <c r="K133" s="176"/>
      <c r="L133" s="176"/>
      <c r="M133" s="176"/>
      <c r="N133" s="176"/>
      <c r="O133" s="176"/>
      <c r="P133" s="176"/>
      <c r="Q133" s="176"/>
      <c r="R133" s="177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91"/>
      <c r="AH133" s="191"/>
      <c r="AI133" s="191"/>
      <c r="AJ133" s="192"/>
    </row>
    <row r="134" spans="1:36" ht="10.15" customHeight="1" x14ac:dyDescent="0.25">
      <c r="A134" s="195"/>
      <c r="B134" s="195"/>
      <c r="C134" s="195"/>
      <c r="D134" s="195"/>
      <c r="E134" s="195"/>
      <c r="F134" s="195"/>
      <c r="G134" s="195"/>
      <c r="H134" s="195"/>
      <c r="I134" s="175"/>
      <c r="J134" s="176"/>
      <c r="K134" s="176"/>
      <c r="L134" s="176"/>
      <c r="M134" s="176"/>
      <c r="N134" s="176"/>
      <c r="O134" s="176"/>
      <c r="P134" s="176"/>
      <c r="Q134" s="176"/>
      <c r="R134" s="177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91"/>
      <c r="AH134" s="191"/>
      <c r="AI134" s="191"/>
      <c r="AJ134" s="192"/>
    </row>
    <row r="135" spans="1:36" ht="10.15" customHeight="1" x14ac:dyDescent="0.25">
      <c r="A135" s="195"/>
      <c r="B135" s="195"/>
      <c r="C135" s="195"/>
      <c r="D135" s="195"/>
      <c r="E135" s="195"/>
      <c r="F135" s="195"/>
      <c r="G135" s="195"/>
      <c r="H135" s="195"/>
      <c r="I135" s="175"/>
      <c r="J135" s="176"/>
      <c r="K135" s="176"/>
      <c r="L135" s="176"/>
      <c r="M135" s="176"/>
      <c r="N135" s="176"/>
      <c r="O135" s="176"/>
      <c r="P135" s="176"/>
      <c r="Q135" s="176"/>
      <c r="R135" s="177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91"/>
      <c r="AH135" s="191"/>
      <c r="AI135" s="191"/>
      <c r="AJ135" s="192"/>
    </row>
    <row r="136" spans="1:36" ht="10.15" customHeight="1" x14ac:dyDescent="0.25">
      <c r="A136" s="195"/>
      <c r="B136" s="195"/>
      <c r="C136" s="195"/>
      <c r="D136" s="195"/>
      <c r="E136" s="195"/>
      <c r="F136" s="195"/>
      <c r="G136" s="195"/>
      <c r="H136" s="195"/>
      <c r="I136" s="175"/>
      <c r="J136" s="176"/>
      <c r="K136" s="176"/>
      <c r="L136" s="176"/>
      <c r="M136" s="176"/>
      <c r="N136" s="176"/>
      <c r="O136" s="176"/>
      <c r="P136" s="176"/>
      <c r="Q136" s="176"/>
      <c r="R136" s="177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91"/>
      <c r="AH136" s="191"/>
      <c r="AI136" s="191"/>
      <c r="AJ136" s="192"/>
    </row>
    <row r="137" spans="1:36" ht="10.15" customHeight="1" x14ac:dyDescent="0.25">
      <c r="A137" s="195"/>
      <c r="B137" s="195"/>
      <c r="C137" s="195"/>
      <c r="D137" s="195"/>
      <c r="E137" s="195"/>
      <c r="F137" s="195"/>
      <c r="G137" s="195"/>
      <c r="H137" s="195"/>
      <c r="I137" s="175"/>
      <c r="J137" s="176"/>
      <c r="K137" s="176"/>
      <c r="L137" s="176"/>
      <c r="M137" s="176"/>
      <c r="N137" s="176"/>
      <c r="O137" s="176"/>
      <c r="P137" s="176"/>
      <c r="Q137" s="176"/>
      <c r="R137" s="177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91"/>
      <c r="AH137" s="191"/>
      <c r="AI137" s="191"/>
      <c r="AJ137" s="192"/>
    </row>
    <row r="138" spans="1:36" ht="10.15" customHeight="1" x14ac:dyDescent="0.25">
      <c r="A138" s="195"/>
      <c r="B138" s="195"/>
      <c r="C138" s="195"/>
      <c r="D138" s="195"/>
      <c r="E138" s="195"/>
      <c r="F138" s="195"/>
      <c r="G138" s="195"/>
      <c r="H138" s="195"/>
      <c r="I138" s="178"/>
      <c r="J138" s="179"/>
      <c r="K138" s="179"/>
      <c r="L138" s="179"/>
      <c r="M138" s="179"/>
      <c r="N138" s="179"/>
      <c r="O138" s="179"/>
      <c r="P138" s="179"/>
      <c r="Q138" s="179"/>
      <c r="R138" s="180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91"/>
      <c r="AH138" s="191"/>
      <c r="AI138" s="191"/>
      <c r="AJ138" s="192"/>
    </row>
    <row r="139" spans="1:36" ht="15" customHeight="1" x14ac:dyDescent="0.25">
      <c r="A139" s="193" t="s">
        <v>138</v>
      </c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</row>
    <row r="140" spans="1:36" ht="15" customHeight="1" x14ac:dyDescent="0.2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</row>
    <row r="141" spans="1:36" ht="15" customHeight="1" x14ac:dyDescent="0.2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</row>
    <row r="142" spans="1:36" ht="15" customHeight="1" x14ac:dyDescent="0.2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</row>
    <row r="143" spans="1:36" ht="15" customHeight="1" x14ac:dyDescent="0.2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</row>
    <row r="144" spans="1:36" ht="15" customHeight="1" x14ac:dyDescent="0.2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</row>
  </sheetData>
  <mergeCells count="236">
    <mergeCell ref="A1:AJ1"/>
    <mergeCell ref="A3:H5"/>
    <mergeCell ref="I3:K5"/>
    <mergeCell ref="L3:Z5"/>
    <mergeCell ref="AA3:AC5"/>
    <mergeCell ref="AD3:AF5"/>
    <mergeCell ref="AG3:AI5"/>
    <mergeCell ref="AJ3:AJ5"/>
    <mergeCell ref="A6:H13"/>
    <mergeCell ref="I6:K13"/>
    <mergeCell ref="L6:Z6"/>
    <mergeCell ref="AA6:AC6"/>
    <mergeCell ref="AD6:AF6"/>
    <mergeCell ref="AG6:AI6"/>
    <mergeCell ref="L7:Z13"/>
    <mergeCell ref="AA7:AC13"/>
    <mergeCell ref="AD7:AF13"/>
    <mergeCell ref="A2:AF2"/>
    <mergeCell ref="A14:H21"/>
    <mergeCell ref="I14:K21"/>
    <mergeCell ref="L14:Z14"/>
    <mergeCell ref="AA14:AC14"/>
    <mergeCell ref="AD14:AF14"/>
    <mergeCell ref="AG14:AI14"/>
    <mergeCell ref="L15:Z21"/>
    <mergeCell ref="AA15:AC21"/>
    <mergeCell ref="AD15:AF21"/>
    <mergeCell ref="AG15:AI15"/>
    <mergeCell ref="AJ15:AJ21"/>
    <mergeCell ref="AG16:AI16"/>
    <mergeCell ref="AG17:AI17"/>
    <mergeCell ref="AG18:AI18"/>
    <mergeCell ref="AG19:AI19"/>
    <mergeCell ref="AG20:AI20"/>
    <mergeCell ref="AG21:AI21"/>
    <mergeCell ref="AJ7:AJ13"/>
    <mergeCell ref="AJ23:AJ29"/>
    <mergeCell ref="AG24:AI24"/>
    <mergeCell ref="AG25:AI25"/>
    <mergeCell ref="AG26:AI26"/>
    <mergeCell ref="AG27:AI27"/>
    <mergeCell ref="AG28:AI28"/>
    <mergeCell ref="AG29:AI29"/>
    <mergeCell ref="A22:H29"/>
    <mergeCell ref="I22:K29"/>
    <mergeCell ref="L22:Z22"/>
    <mergeCell ref="AA22:AC22"/>
    <mergeCell ref="AD22:AF22"/>
    <mergeCell ref="AG22:AI22"/>
    <mergeCell ref="L23:Z29"/>
    <mergeCell ref="AA23:AC29"/>
    <mergeCell ref="AD23:AF29"/>
    <mergeCell ref="AG23:AI23"/>
    <mergeCell ref="AJ31:AJ36"/>
    <mergeCell ref="AG32:AI32"/>
    <mergeCell ref="AG33:AI33"/>
    <mergeCell ref="AG34:AI34"/>
    <mergeCell ref="AG35:AI35"/>
    <mergeCell ref="AG36:AI36"/>
    <mergeCell ref="A30:H36"/>
    <mergeCell ref="I30:K36"/>
    <mergeCell ref="L30:Z30"/>
    <mergeCell ref="AA30:AC30"/>
    <mergeCell ref="AD30:AF30"/>
    <mergeCell ref="AG30:AI30"/>
    <mergeCell ref="L31:Z36"/>
    <mergeCell ref="AA31:AC36"/>
    <mergeCell ref="AD31:AF36"/>
    <mergeCell ref="AG31:AI31"/>
    <mergeCell ref="AJ37:AJ43"/>
    <mergeCell ref="AG38:AI38"/>
    <mergeCell ref="AG39:AI39"/>
    <mergeCell ref="AG40:AI40"/>
    <mergeCell ref="AG41:AI41"/>
    <mergeCell ref="AG42:AI42"/>
    <mergeCell ref="AG43:AI43"/>
    <mergeCell ref="A37:H43"/>
    <mergeCell ref="I37:K43"/>
    <mergeCell ref="L37:Z43"/>
    <mergeCell ref="AA37:AC43"/>
    <mergeCell ref="AD37:AF43"/>
    <mergeCell ref="AG37:AI37"/>
    <mergeCell ref="AJ44:AJ50"/>
    <mergeCell ref="AG45:AI45"/>
    <mergeCell ref="AG46:AI46"/>
    <mergeCell ref="AG47:AI47"/>
    <mergeCell ref="AG48:AI48"/>
    <mergeCell ref="AG49:AI49"/>
    <mergeCell ref="AG50:AI50"/>
    <mergeCell ref="A44:H50"/>
    <mergeCell ref="I44:K50"/>
    <mergeCell ref="L44:Z50"/>
    <mergeCell ref="AA44:AC50"/>
    <mergeCell ref="AD44:AF50"/>
    <mergeCell ref="AG44:AI44"/>
    <mergeCell ref="AG61:AI61"/>
    <mergeCell ref="A62:H68"/>
    <mergeCell ref="AG62:AI62"/>
    <mergeCell ref="AJ62:AJ68"/>
    <mergeCell ref="AG63:AI63"/>
    <mergeCell ref="AG64:AI64"/>
    <mergeCell ref="AG65:AI65"/>
    <mergeCell ref="AG66:AI66"/>
    <mergeCell ref="A55:H61"/>
    <mergeCell ref="AG55:AI55"/>
    <mergeCell ref="AJ55:AJ61"/>
    <mergeCell ref="AG56:AI56"/>
    <mergeCell ref="AG57:AI57"/>
    <mergeCell ref="AG58:AI58"/>
    <mergeCell ref="AG59:AI59"/>
    <mergeCell ref="AG60:AI60"/>
    <mergeCell ref="AG67:AI67"/>
    <mergeCell ref="AG68:AI68"/>
    <mergeCell ref="A69:H75"/>
    <mergeCell ref="AG69:AI69"/>
    <mergeCell ref="AJ83:AJ89"/>
    <mergeCell ref="AG84:AI84"/>
    <mergeCell ref="AG85:AI85"/>
    <mergeCell ref="AG86:AI86"/>
    <mergeCell ref="AG87:AI87"/>
    <mergeCell ref="AG88:AI88"/>
    <mergeCell ref="AG89:AI89"/>
    <mergeCell ref="AG76:AI76"/>
    <mergeCell ref="AG77:AI77"/>
    <mergeCell ref="AG78:AI78"/>
    <mergeCell ref="AG79:AI79"/>
    <mergeCell ref="AG80:AI80"/>
    <mergeCell ref="AJ69:AJ75"/>
    <mergeCell ref="AG70:AI70"/>
    <mergeCell ref="AG71:AI71"/>
    <mergeCell ref="AG72:AI72"/>
    <mergeCell ref="AG73:AI73"/>
    <mergeCell ref="AG74:AI74"/>
    <mergeCell ref="AG75:AI75"/>
    <mergeCell ref="AG81:AI81"/>
    <mergeCell ref="AG82:AI82"/>
    <mergeCell ref="AJ76:AJ82"/>
    <mergeCell ref="AJ97:AJ103"/>
    <mergeCell ref="AG98:AI98"/>
    <mergeCell ref="AG99:AI99"/>
    <mergeCell ref="AG100:AI100"/>
    <mergeCell ref="AG101:AI101"/>
    <mergeCell ref="A90:H96"/>
    <mergeCell ref="AG90:AI90"/>
    <mergeCell ref="AJ90:AJ96"/>
    <mergeCell ref="AG91:AI91"/>
    <mergeCell ref="AG92:AI92"/>
    <mergeCell ref="AG93:AI93"/>
    <mergeCell ref="AG94:AI94"/>
    <mergeCell ref="AG95:AI95"/>
    <mergeCell ref="AG102:AI102"/>
    <mergeCell ref="AG103:AI103"/>
    <mergeCell ref="A83:H89"/>
    <mergeCell ref="AG83:AI83"/>
    <mergeCell ref="A76:H82"/>
    <mergeCell ref="AG105:AI105"/>
    <mergeCell ref="AG106:AI106"/>
    <mergeCell ref="AG107:AI107"/>
    <mergeCell ref="AG108:AI108"/>
    <mergeCell ref="AG109:AI109"/>
    <mergeCell ref="AG110:AI110"/>
    <mergeCell ref="AG96:AI96"/>
    <mergeCell ref="A97:H103"/>
    <mergeCell ref="AG97:AI97"/>
    <mergeCell ref="AG117:AI117"/>
    <mergeCell ref="A104:H110"/>
    <mergeCell ref="AG104:AI104"/>
    <mergeCell ref="A111:H117"/>
    <mergeCell ref="AG111:AI111"/>
    <mergeCell ref="AG112:AI112"/>
    <mergeCell ref="AG113:AI113"/>
    <mergeCell ref="AG114:AI114"/>
    <mergeCell ref="AG115:AI115"/>
    <mergeCell ref="AG116:AI116"/>
    <mergeCell ref="A125:H131"/>
    <mergeCell ref="AG125:AI125"/>
    <mergeCell ref="A118:H124"/>
    <mergeCell ref="AG118:AI118"/>
    <mergeCell ref="AG119:AI119"/>
    <mergeCell ref="AG120:AI120"/>
    <mergeCell ref="AG121:AI121"/>
    <mergeCell ref="AG122:AI122"/>
    <mergeCell ref="I118:R124"/>
    <mergeCell ref="S118:Z124"/>
    <mergeCell ref="AA118:AF124"/>
    <mergeCell ref="I125:R131"/>
    <mergeCell ref="S125:Z131"/>
    <mergeCell ref="AA125:AF131"/>
    <mergeCell ref="A139:AJ144"/>
    <mergeCell ref="A51:H51"/>
    <mergeCell ref="A52:H52"/>
    <mergeCell ref="A53:H53"/>
    <mergeCell ref="A54:H54"/>
    <mergeCell ref="I51:AF51"/>
    <mergeCell ref="I52:AF52"/>
    <mergeCell ref="I53:AF53"/>
    <mergeCell ref="I54:AF54"/>
    <mergeCell ref="AG138:AI138"/>
    <mergeCell ref="A132:H138"/>
    <mergeCell ref="AG132:AI132"/>
    <mergeCell ref="AJ132:AJ138"/>
    <mergeCell ref="AG133:AI133"/>
    <mergeCell ref="AG134:AI134"/>
    <mergeCell ref="AG135:AI135"/>
    <mergeCell ref="AG136:AI136"/>
    <mergeCell ref="AG137:AI137"/>
    <mergeCell ref="AJ125:AJ131"/>
    <mergeCell ref="AG126:AI126"/>
    <mergeCell ref="AG127:AI127"/>
    <mergeCell ref="AG128:AI128"/>
    <mergeCell ref="AG129:AI129"/>
    <mergeCell ref="AG130:AI130"/>
    <mergeCell ref="I132:R138"/>
    <mergeCell ref="S132:Z138"/>
    <mergeCell ref="AA132:AF138"/>
    <mergeCell ref="AJ104:AJ117"/>
    <mergeCell ref="AA55:AF61"/>
    <mergeCell ref="I55:Z61"/>
    <mergeCell ref="I62:Z68"/>
    <mergeCell ref="AA62:AF68"/>
    <mergeCell ref="I69:Z75"/>
    <mergeCell ref="AA69:AF75"/>
    <mergeCell ref="I76:Z82"/>
    <mergeCell ref="AA76:AF82"/>
    <mergeCell ref="I83:Z89"/>
    <mergeCell ref="AA83:AF89"/>
    <mergeCell ref="I90:Z96"/>
    <mergeCell ref="AA90:AF96"/>
    <mergeCell ref="I97:Z103"/>
    <mergeCell ref="AA97:AF103"/>
    <mergeCell ref="I104:Z117"/>
    <mergeCell ref="AA104:AF117"/>
    <mergeCell ref="AG131:AI131"/>
    <mergeCell ref="AG123:AI123"/>
    <mergeCell ref="AG124:AI124"/>
    <mergeCell ref="AJ118:AJ124"/>
  </mergeCells>
  <pageMargins left="0.23622047244094491" right="0.23622047244094491" top="0" bottom="0.74803149606299213" header="0" footer="0.31496062992125984"/>
  <pageSetup paperSize="9" fitToHeight="0" orientation="portrait" r:id="rId1"/>
  <rowBreaks count="2" manualBreakCount="2">
    <brk id="52" max="35" man="1"/>
    <brk id="103" max="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AR77"/>
  <sheetViews>
    <sheetView view="pageBreakPreview" zoomScaleNormal="100" zoomScaleSheetLayoutView="100" workbookViewId="0">
      <selection activeCell="A3" sqref="A3:H5"/>
    </sheetView>
  </sheetViews>
  <sheetFormatPr defaultColWidth="9.140625" defaultRowHeight="15" x14ac:dyDescent="0.25"/>
  <cols>
    <col min="1" max="10" width="3.28515625" style="31" customWidth="1"/>
    <col min="11" max="11" width="8.28515625" style="31" customWidth="1"/>
    <col min="12" max="26" width="1.85546875" style="31" customWidth="1"/>
    <col min="27" max="32" width="2.7109375" style="31" customWidth="1"/>
    <col min="33" max="35" width="2.7109375" style="31" hidden="1" customWidth="1"/>
    <col min="36" max="36" width="10.85546875" style="34" customWidth="1"/>
    <col min="37" max="16384" width="9.140625" style="31"/>
  </cols>
  <sheetData>
    <row r="1" spans="1:44" ht="15.75" x14ac:dyDescent="0.25">
      <c r="A1" s="209" t="s">
        <v>193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</row>
    <row r="2" spans="1:44" ht="64.5" customHeight="1" x14ac:dyDescent="0.25">
      <c r="A2" s="214" t="s">
        <v>227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84"/>
      <c r="AH2" s="84"/>
      <c r="AI2" s="84"/>
      <c r="AJ2" s="85">
        <v>70</v>
      </c>
    </row>
    <row r="3" spans="1:44" ht="10.15" customHeight="1" x14ac:dyDescent="0.25">
      <c r="A3" s="211" t="s">
        <v>52</v>
      </c>
      <c r="B3" s="211"/>
      <c r="C3" s="211"/>
      <c r="D3" s="211"/>
      <c r="E3" s="211"/>
      <c r="F3" s="211"/>
      <c r="G3" s="211"/>
      <c r="H3" s="211"/>
      <c r="I3" s="211" t="s">
        <v>115</v>
      </c>
      <c r="J3" s="211"/>
      <c r="K3" s="211"/>
      <c r="L3" s="211" t="s">
        <v>1</v>
      </c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2" t="s">
        <v>116</v>
      </c>
      <c r="AB3" s="212"/>
      <c r="AC3" s="212"/>
      <c r="AD3" s="212" t="s">
        <v>117</v>
      </c>
      <c r="AE3" s="212"/>
      <c r="AF3" s="212"/>
      <c r="AG3" s="212" t="s">
        <v>57</v>
      </c>
      <c r="AH3" s="212"/>
      <c r="AI3" s="212"/>
      <c r="AJ3" s="213" t="s">
        <v>201</v>
      </c>
      <c r="AO3" s="32"/>
    </row>
    <row r="4" spans="1:44" ht="10.15" customHeight="1" x14ac:dyDescent="0.25">
      <c r="A4" s="211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2"/>
      <c r="AB4" s="212"/>
      <c r="AC4" s="212"/>
      <c r="AD4" s="212"/>
      <c r="AE4" s="212"/>
      <c r="AF4" s="212"/>
      <c r="AG4" s="212"/>
      <c r="AH4" s="212"/>
      <c r="AI4" s="212"/>
      <c r="AJ4" s="213"/>
    </row>
    <row r="5" spans="1:44" ht="10.15" customHeight="1" x14ac:dyDescent="0.25">
      <c r="A5" s="211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2"/>
      <c r="AB5" s="212"/>
      <c r="AC5" s="212"/>
      <c r="AD5" s="212"/>
      <c r="AE5" s="212"/>
      <c r="AF5" s="212"/>
      <c r="AG5" s="212"/>
      <c r="AH5" s="212"/>
      <c r="AI5" s="212"/>
      <c r="AJ5" s="213"/>
    </row>
    <row r="6" spans="1:44" ht="15" customHeight="1" x14ac:dyDescent="0.25">
      <c r="A6" s="206"/>
      <c r="B6" s="206"/>
      <c r="C6" s="206"/>
      <c r="D6" s="206"/>
      <c r="E6" s="206"/>
      <c r="F6" s="206"/>
      <c r="G6" s="206"/>
      <c r="H6" s="206"/>
      <c r="I6" s="207" t="s">
        <v>139</v>
      </c>
      <c r="J6" s="207"/>
      <c r="K6" s="207"/>
      <c r="L6" s="207" t="s">
        <v>121</v>
      </c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4">
        <v>2800</v>
      </c>
      <c r="AB6" s="204"/>
      <c r="AC6" s="204"/>
      <c r="AD6" s="204" t="s">
        <v>120</v>
      </c>
      <c r="AE6" s="204"/>
      <c r="AF6" s="204"/>
      <c r="AG6" s="204"/>
      <c r="AH6" s="204"/>
      <c r="AI6" s="204"/>
      <c r="AJ6" s="208">
        <v>735</v>
      </c>
    </row>
    <row r="7" spans="1:44" ht="15" customHeight="1" x14ac:dyDescent="0.25">
      <c r="A7" s="206"/>
      <c r="B7" s="206"/>
      <c r="C7" s="206"/>
      <c r="D7" s="206"/>
      <c r="E7" s="206"/>
      <c r="F7" s="206"/>
      <c r="G7" s="206"/>
      <c r="H7" s="206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4"/>
      <c r="AB7" s="204"/>
      <c r="AC7" s="204"/>
      <c r="AD7" s="204" t="s">
        <v>120</v>
      </c>
      <c r="AE7" s="204"/>
      <c r="AF7" s="204"/>
      <c r="AG7" s="61"/>
      <c r="AH7" s="61"/>
      <c r="AI7" s="61"/>
      <c r="AJ7" s="208"/>
    </row>
    <row r="8" spans="1:44" ht="15" customHeight="1" x14ac:dyDescent="0.25">
      <c r="A8" s="206"/>
      <c r="B8" s="206"/>
      <c r="C8" s="206"/>
      <c r="D8" s="206"/>
      <c r="E8" s="206"/>
      <c r="F8" s="206"/>
      <c r="G8" s="206"/>
      <c r="H8" s="206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4"/>
      <c r="AB8" s="204"/>
      <c r="AC8" s="204"/>
      <c r="AD8" s="204"/>
      <c r="AE8" s="204"/>
      <c r="AF8" s="204"/>
      <c r="AG8" s="61"/>
      <c r="AH8" s="61"/>
      <c r="AI8" s="61"/>
      <c r="AJ8" s="208"/>
    </row>
    <row r="9" spans="1:44" ht="15" customHeight="1" x14ac:dyDescent="0.25">
      <c r="A9" s="206"/>
      <c r="B9" s="206"/>
      <c r="C9" s="206"/>
      <c r="D9" s="206"/>
      <c r="E9" s="206"/>
      <c r="F9" s="206"/>
      <c r="G9" s="206"/>
      <c r="H9" s="206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4"/>
      <c r="AB9" s="204"/>
      <c r="AC9" s="204"/>
      <c r="AD9" s="204"/>
      <c r="AE9" s="204"/>
      <c r="AF9" s="204"/>
      <c r="AG9" s="61"/>
      <c r="AH9" s="61"/>
      <c r="AI9" s="61"/>
      <c r="AJ9" s="208"/>
    </row>
    <row r="10" spans="1:44" ht="15" customHeight="1" x14ac:dyDescent="0.25">
      <c r="A10" s="206"/>
      <c r="B10" s="206"/>
      <c r="C10" s="206"/>
      <c r="D10" s="206"/>
      <c r="E10" s="206"/>
      <c r="F10" s="206"/>
      <c r="G10" s="206"/>
      <c r="H10" s="206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4"/>
      <c r="AB10" s="204"/>
      <c r="AC10" s="204"/>
      <c r="AD10" s="204"/>
      <c r="AE10" s="204"/>
      <c r="AF10" s="204"/>
      <c r="AG10" s="61"/>
      <c r="AH10" s="61"/>
      <c r="AI10" s="61"/>
      <c r="AJ10" s="208"/>
    </row>
    <row r="11" spans="1:44" ht="4.5" customHeight="1" x14ac:dyDescent="0.25">
      <c r="A11" s="206"/>
      <c r="B11" s="206"/>
      <c r="C11" s="206"/>
      <c r="D11" s="206"/>
      <c r="E11" s="206"/>
      <c r="F11" s="206"/>
      <c r="G11" s="206"/>
      <c r="H11" s="206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4"/>
      <c r="AB11" s="204"/>
      <c r="AC11" s="204"/>
      <c r="AD11" s="204"/>
      <c r="AE11" s="204"/>
      <c r="AF11" s="204"/>
      <c r="AG11" s="61"/>
      <c r="AH11" s="61"/>
      <c r="AI11" s="61"/>
      <c r="AJ11" s="208"/>
    </row>
    <row r="12" spans="1:44" ht="4.5" hidden="1" customHeight="1" x14ac:dyDescent="0.25">
      <c r="A12" s="206"/>
      <c r="B12" s="206"/>
      <c r="C12" s="206"/>
      <c r="D12" s="206"/>
      <c r="E12" s="206"/>
      <c r="F12" s="206"/>
      <c r="G12" s="206"/>
      <c r="H12" s="206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4"/>
      <c r="AB12" s="204"/>
      <c r="AC12" s="204"/>
      <c r="AD12" s="204"/>
      <c r="AE12" s="204"/>
      <c r="AF12" s="204"/>
      <c r="AG12" s="61"/>
      <c r="AH12" s="61"/>
      <c r="AI12" s="61"/>
      <c r="AJ12" s="208"/>
      <c r="AK12" s="33"/>
      <c r="AL12" s="33"/>
      <c r="AM12" s="33"/>
      <c r="AN12" s="33"/>
      <c r="AO12" s="33"/>
      <c r="AP12" s="33"/>
      <c r="AQ12" s="33"/>
      <c r="AR12" s="33"/>
    </row>
    <row r="13" spans="1:44" ht="15" hidden="1" customHeight="1" x14ac:dyDescent="0.25">
      <c r="A13" s="206"/>
      <c r="B13" s="206"/>
      <c r="C13" s="206"/>
      <c r="D13" s="206"/>
      <c r="E13" s="206"/>
      <c r="F13" s="206"/>
      <c r="G13" s="206"/>
      <c r="H13" s="20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4"/>
      <c r="AB13" s="204"/>
      <c r="AC13" s="204"/>
      <c r="AD13" s="204"/>
      <c r="AE13" s="204"/>
      <c r="AF13" s="204"/>
      <c r="AG13" s="61"/>
      <c r="AH13" s="61"/>
      <c r="AI13" s="61"/>
      <c r="AJ13" s="208"/>
      <c r="AK13" s="33"/>
      <c r="AL13" s="33"/>
      <c r="AM13" s="33"/>
      <c r="AN13" s="33"/>
      <c r="AO13" s="33"/>
      <c r="AP13" s="33"/>
      <c r="AQ13" s="33"/>
      <c r="AR13" s="33"/>
    </row>
    <row r="14" spans="1:44" ht="15" customHeight="1" x14ac:dyDescent="0.25">
      <c r="A14" s="206"/>
      <c r="B14" s="206"/>
      <c r="C14" s="206"/>
      <c r="D14" s="206"/>
      <c r="E14" s="206"/>
      <c r="F14" s="206"/>
      <c r="G14" s="206"/>
      <c r="H14" s="206"/>
      <c r="I14" s="207" t="s">
        <v>140</v>
      </c>
      <c r="J14" s="207"/>
      <c r="K14" s="207"/>
      <c r="L14" s="207" t="s">
        <v>121</v>
      </c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4">
        <v>2800</v>
      </c>
      <c r="AB14" s="204"/>
      <c r="AC14" s="204"/>
      <c r="AD14" s="204" t="s">
        <v>120</v>
      </c>
      <c r="AE14" s="204"/>
      <c r="AF14" s="204"/>
      <c r="AG14" s="204"/>
      <c r="AH14" s="204"/>
      <c r="AI14" s="204"/>
      <c r="AJ14" s="208">
        <v>555</v>
      </c>
      <c r="AK14" s="33"/>
      <c r="AL14" s="33"/>
      <c r="AM14" s="33"/>
      <c r="AN14" s="33"/>
      <c r="AO14" s="33"/>
      <c r="AP14" s="33"/>
      <c r="AQ14" s="33"/>
      <c r="AR14" s="33"/>
    </row>
    <row r="15" spans="1:44" ht="15" customHeight="1" x14ac:dyDescent="0.25">
      <c r="A15" s="206"/>
      <c r="B15" s="206"/>
      <c r="C15" s="206"/>
      <c r="D15" s="206"/>
      <c r="E15" s="206"/>
      <c r="F15" s="206"/>
      <c r="G15" s="206"/>
      <c r="H15" s="20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4"/>
      <c r="AB15" s="204"/>
      <c r="AC15" s="204"/>
      <c r="AD15" s="204"/>
      <c r="AE15" s="204"/>
      <c r="AF15" s="204"/>
      <c r="AG15" s="204"/>
      <c r="AH15" s="204"/>
      <c r="AI15" s="204"/>
      <c r="AJ15" s="208"/>
      <c r="AK15" s="33"/>
      <c r="AL15" s="33"/>
      <c r="AM15" s="33"/>
      <c r="AN15" s="33"/>
      <c r="AO15" s="33"/>
      <c r="AP15" s="33"/>
      <c r="AQ15" s="33"/>
      <c r="AR15" s="33"/>
    </row>
    <row r="16" spans="1:44" ht="15" customHeight="1" x14ac:dyDescent="0.25">
      <c r="A16" s="206"/>
      <c r="B16" s="206"/>
      <c r="C16" s="206"/>
      <c r="D16" s="206"/>
      <c r="E16" s="206"/>
      <c r="F16" s="206"/>
      <c r="G16" s="206"/>
      <c r="H16" s="206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4"/>
      <c r="AB16" s="204"/>
      <c r="AC16" s="204"/>
      <c r="AD16" s="204"/>
      <c r="AE16" s="204"/>
      <c r="AF16" s="204"/>
      <c r="AG16" s="204"/>
      <c r="AH16" s="204"/>
      <c r="AI16" s="204"/>
      <c r="AJ16" s="208"/>
      <c r="AK16" s="33"/>
      <c r="AL16" s="33"/>
      <c r="AM16" s="33"/>
      <c r="AN16" s="33"/>
      <c r="AO16" s="33"/>
      <c r="AP16" s="33"/>
      <c r="AQ16" s="33"/>
      <c r="AR16" s="33"/>
    </row>
    <row r="17" spans="1:44" ht="15" customHeight="1" x14ac:dyDescent="0.25">
      <c r="A17" s="206"/>
      <c r="B17" s="206"/>
      <c r="C17" s="206"/>
      <c r="D17" s="206"/>
      <c r="E17" s="206"/>
      <c r="F17" s="206"/>
      <c r="G17" s="206"/>
      <c r="H17" s="206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4"/>
      <c r="AB17" s="204"/>
      <c r="AC17" s="204"/>
      <c r="AD17" s="204"/>
      <c r="AE17" s="204"/>
      <c r="AF17" s="204"/>
      <c r="AG17" s="204"/>
      <c r="AH17" s="204"/>
      <c r="AI17" s="204"/>
      <c r="AJ17" s="208"/>
      <c r="AK17" s="33"/>
      <c r="AL17" s="33"/>
      <c r="AM17" s="33"/>
      <c r="AN17" s="33"/>
      <c r="AO17" s="33"/>
      <c r="AP17" s="33"/>
      <c r="AQ17" s="33"/>
      <c r="AR17" s="33"/>
    </row>
    <row r="18" spans="1:44" ht="15" customHeight="1" x14ac:dyDescent="0.25">
      <c r="A18" s="206"/>
      <c r="B18" s="206"/>
      <c r="C18" s="206"/>
      <c r="D18" s="206"/>
      <c r="E18" s="206"/>
      <c r="F18" s="206"/>
      <c r="G18" s="206"/>
      <c r="H18" s="206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4"/>
      <c r="AB18" s="204"/>
      <c r="AC18" s="204"/>
      <c r="AD18" s="204"/>
      <c r="AE18" s="204"/>
      <c r="AF18" s="204"/>
      <c r="AG18" s="204"/>
      <c r="AH18" s="204"/>
      <c r="AI18" s="204"/>
      <c r="AJ18" s="208"/>
      <c r="AK18" s="33"/>
      <c r="AL18" s="33"/>
      <c r="AM18" s="33"/>
      <c r="AN18" s="33"/>
      <c r="AO18" s="33"/>
      <c r="AP18" s="33"/>
      <c r="AQ18" s="33"/>
      <c r="AR18" s="33"/>
    </row>
    <row r="19" spans="1:44" ht="3.75" customHeight="1" x14ac:dyDescent="0.25">
      <c r="A19" s="206"/>
      <c r="B19" s="206"/>
      <c r="C19" s="206"/>
      <c r="D19" s="206"/>
      <c r="E19" s="206"/>
      <c r="F19" s="206"/>
      <c r="G19" s="206"/>
      <c r="H19" s="206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4"/>
      <c r="AB19" s="204"/>
      <c r="AC19" s="204"/>
      <c r="AD19" s="204"/>
      <c r="AE19" s="204"/>
      <c r="AF19" s="204"/>
      <c r="AG19" s="204"/>
      <c r="AH19" s="204"/>
      <c r="AI19" s="204"/>
      <c r="AJ19" s="208"/>
      <c r="AK19" s="33"/>
      <c r="AL19" s="33"/>
      <c r="AM19" s="33"/>
      <c r="AN19" s="33"/>
      <c r="AO19" s="33"/>
      <c r="AP19" s="33"/>
      <c r="AQ19" s="33"/>
      <c r="AR19" s="33"/>
    </row>
    <row r="20" spans="1:44" ht="3.75" hidden="1" customHeight="1" x14ac:dyDescent="0.25">
      <c r="A20" s="206"/>
      <c r="B20" s="206"/>
      <c r="C20" s="206"/>
      <c r="D20" s="206"/>
      <c r="E20" s="206"/>
      <c r="F20" s="206"/>
      <c r="G20" s="206"/>
      <c r="H20" s="206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4"/>
      <c r="AB20" s="204"/>
      <c r="AC20" s="204"/>
      <c r="AD20" s="204"/>
      <c r="AE20" s="204"/>
      <c r="AF20" s="204"/>
      <c r="AG20" s="204"/>
      <c r="AH20" s="204"/>
      <c r="AI20" s="204"/>
      <c r="AJ20" s="208"/>
      <c r="AK20" s="33"/>
      <c r="AL20" s="33"/>
      <c r="AM20" s="33"/>
      <c r="AN20" s="33"/>
      <c r="AO20" s="33"/>
      <c r="AP20" s="33"/>
      <c r="AQ20" s="33"/>
      <c r="AR20" s="33"/>
    </row>
    <row r="21" spans="1:44" ht="15" hidden="1" customHeight="1" x14ac:dyDescent="0.25">
      <c r="A21" s="206"/>
      <c r="B21" s="206"/>
      <c r="C21" s="206"/>
      <c r="D21" s="206"/>
      <c r="E21" s="206"/>
      <c r="F21" s="206"/>
      <c r="G21" s="206"/>
      <c r="H21" s="20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4"/>
      <c r="AB21" s="204"/>
      <c r="AC21" s="204"/>
      <c r="AD21" s="204"/>
      <c r="AE21" s="204"/>
      <c r="AF21" s="204"/>
      <c r="AG21" s="204"/>
      <c r="AH21" s="204"/>
      <c r="AI21" s="204"/>
      <c r="AJ21" s="208"/>
      <c r="AK21" s="33"/>
      <c r="AL21" s="33"/>
      <c r="AM21" s="33"/>
      <c r="AN21" s="33"/>
      <c r="AO21" s="33"/>
      <c r="AP21" s="33"/>
      <c r="AQ21" s="33"/>
      <c r="AR21" s="33"/>
    </row>
    <row r="22" spans="1:44" ht="15" customHeight="1" x14ac:dyDescent="0.25">
      <c r="A22" s="206"/>
      <c r="B22" s="206"/>
      <c r="C22" s="206"/>
      <c r="D22" s="206"/>
      <c r="E22" s="206"/>
      <c r="F22" s="206"/>
      <c r="G22" s="206"/>
      <c r="H22" s="206"/>
      <c r="I22" s="207" t="s">
        <v>141</v>
      </c>
      <c r="J22" s="207"/>
      <c r="K22" s="207"/>
      <c r="L22" s="207" t="s">
        <v>121</v>
      </c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4">
        <v>2800</v>
      </c>
      <c r="AB22" s="204"/>
      <c r="AC22" s="204"/>
      <c r="AD22" s="204" t="s">
        <v>120</v>
      </c>
      <c r="AE22" s="204"/>
      <c r="AF22" s="204"/>
      <c r="AG22" s="204"/>
      <c r="AH22" s="204"/>
      <c r="AI22" s="204"/>
      <c r="AJ22" s="208">
        <v>560</v>
      </c>
      <c r="AK22" s="33"/>
      <c r="AL22" s="33"/>
      <c r="AM22" s="33"/>
      <c r="AN22" s="33"/>
      <c r="AO22" s="33"/>
      <c r="AP22" s="33"/>
      <c r="AQ22" s="33"/>
      <c r="AR22" s="33"/>
    </row>
    <row r="23" spans="1:44" ht="15" customHeight="1" x14ac:dyDescent="0.25">
      <c r="A23" s="206"/>
      <c r="B23" s="206"/>
      <c r="C23" s="206"/>
      <c r="D23" s="206"/>
      <c r="E23" s="206"/>
      <c r="F23" s="206"/>
      <c r="G23" s="206"/>
      <c r="H23" s="20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4"/>
      <c r="AB23" s="204"/>
      <c r="AC23" s="204"/>
      <c r="AD23" s="204"/>
      <c r="AE23" s="204"/>
      <c r="AF23" s="204"/>
      <c r="AG23" s="204"/>
      <c r="AH23" s="204"/>
      <c r="AI23" s="204"/>
      <c r="AJ23" s="208"/>
      <c r="AK23" s="33"/>
      <c r="AL23" s="33"/>
      <c r="AM23" s="33"/>
      <c r="AN23" s="33"/>
      <c r="AO23" s="33"/>
      <c r="AP23" s="33"/>
      <c r="AQ23" s="33"/>
      <c r="AR23" s="33"/>
    </row>
    <row r="24" spans="1:44" ht="15" customHeight="1" x14ac:dyDescent="0.25">
      <c r="A24" s="206"/>
      <c r="B24" s="206"/>
      <c r="C24" s="206"/>
      <c r="D24" s="206"/>
      <c r="E24" s="206"/>
      <c r="F24" s="206"/>
      <c r="G24" s="206"/>
      <c r="H24" s="206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4"/>
      <c r="AB24" s="204"/>
      <c r="AC24" s="204"/>
      <c r="AD24" s="204"/>
      <c r="AE24" s="204"/>
      <c r="AF24" s="204"/>
      <c r="AG24" s="204"/>
      <c r="AH24" s="204"/>
      <c r="AI24" s="204"/>
      <c r="AJ24" s="208"/>
      <c r="AK24" s="33"/>
      <c r="AL24" s="33"/>
      <c r="AM24" s="33"/>
      <c r="AN24" s="33"/>
      <c r="AO24" s="33"/>
      <c r="AP24" s="33"/>
      <c r="AQ24" s="33"/>
      <c r="AR24" s="33"/>
    </row>
    <row r="25" spans="1:44" ht="15" customHeight="1" x14ac:dyDescent="0.25">
      <c r="A25" s="206"/>
      <c r="B25" s="206"/>
      <c r="C25" s="206"/>
      <c r="D25" s="206"/>
      <c r="E25" s="206"/>
      <c r="F25" s="206"/>
      <c r="G25" s="206"/>
      <c r="H25" s="206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4"/>
      <c r="AB25" s="204"/>
      <c r="AC25" s="204"/>
      <c r="AD25" s="204"/>
      <c r="AE25" s="204"/>
      <c r="AF25" s="204"/>
      <c r="AG25" s="204"/>
      <c r="AH25" s="204"/>
      <c r="AI25" s="204"/>
      <c r="AJ25" s="208"/>
      <c r="AK25" s="33"/>
      <c r="AL25" s="33"/>
      <c r="AM25" s="33"/>
      <c r="AN25" s="33"/>
      <c r="AO25" s="33"/>
      <c r="AP25" s="33"/>
      <c r="AQ25" s="33"/>
      <c r="AR25" s="33"/>
    </row>
    <row r="26" spans="1:44" ht="15" customHeight="1" x14ac:dyDescent="0.25">
      <c r="A26" s="206"/>
      <c r="B26" s="206"/>
      <c r="C26" s="206"/>
      <c r="D26" s="206"/>
      <c r="E26" s="206"/>
      <c r="F26" s="206"/>
      <c r="G26" s="206"/>
      <c r="H26" s="206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4"/>
      <c r="AB26" s="204"/>
      <c r="AC26" s="204"/>
      <c r="AD26" s="204"/>
      <c r="AE26" s="204"/>
      <c r="AF26" s="204"/>
      <c r="AG26" s="204"/>
      <c r="AH26" s="204"/>
      <c r="AI26" s="204"/>
      <c r="AJ26" s="208"/>
      <c r="AK26" s="33"/>
      <c r="AL26" s="33"/>
      <c r="AM26" s="33"/>
      <c r="AN26" s="33"/>
      <c r="AO26" s="33"/>
      <c r="AP26" s="33"/>
      <c r="AQ26" s="33"/>
      <c r="AR26" s="33"/>
    </row>
    <row r="27" spans="1:44" ht="4.5" customHeight="1" x14ac:dyDescent="0.25">
      <c r="A27" s="206"/>
      <c r="B27" s="206"/>
      <c r="C27" s="206"/>
      <c r="D27" s="206"/>
      <c r="E27" s="206"/>
      <c r="F27" s="206"/>
      <c r="G27" s="206"/>
      <c r="H27" s="206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4"/>
      <c r="AB27" s="204"/>
      <c r="AC27" s="204"/>
      <c r="AD27" s="204"/>
      <c r="AE27" s="204"/>
      <c r="AF27" s="204"/>
      <c r="AG27" s="204"/>
      <c r="AH27" s="204"/>
      <c r="AI27" s="204"/>
      <c r="AJ27" s="208"/>
      <c r="AK27" s="33"/>
      <c r="AL27" s="33"/>
      <c r="AM27" s="33"/>
      <c r="AN27" s="33"/>
      <c r="AO27" s="33"/>
      <c r="AP27" s="33"/>
      <c r="AQ27" s="33"/>
      <c r="AR27" s="33"/>
    </row>
    <row r="28" spans="1:44" ht="3.75" hidden="1" customHeight="1" x14ac:dyDescent="0.25">
      <c r="A28" s="206"/>
      <c r="B28" s="206"/>
      <c r="C28" s="206"/>
      <c r="D28" s="206"/>
      <c r="E28" s="206"/>
      <c r="F28" s="206"/>
      <c r="G28" s="206"/>
      <c r="H28" s="206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4"/>
      <c r="AB28" s="204"/>
      <c r="AC28" s="204"/>
      <c r="AD28" s="204"/>
      <c r="AE28" s="204"/>
      <c r="AF28" s="204"/>
      <c r="AG28" s="204"/>
      <c r="AH28" s="204"/>
      <c r="AI28" s="204"/>
      <c r="AJ28" s="208"/>
      <c r="AK28" s="33"/>
      <c r="AL28" s="33"/>
      <c r="AM28" s="33"/>
      <c r="AN28" s="33"/>
      <c r="AO28" s="33"/>
      <c r="AP28" s="33"/>
      <c r="AQ28" s="33"/>
      <c r="AR28" s="33"/>
    </row>
    <row r="29" spans="1:44" ht="15" hidden="1" customHeight="1" thickBot="1" x14ac:dyDescent="0.3">
      <c r="A29" s="206"/>
      <c r="B29" s="206"/>
      <c r="C29" s="206"/>
      <c r="D29" s="206"/>
      <c r="E29" s="206"/>
      <c r="F29" s="206"/>
      <c r="G29" s="206"/>
      <c r="H29" s="206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4"/>
      <c r="AB29" s="204"/>
      <c r="AC29" s="204"/>
      <c r="AD29" s="204"/>
      <c r="AE29" s="204"/>
      <c r="AF29" s="204"/>
      <c r="AG29" s="204"/>
      <c r="AH29" s="204"/>
      <c r="AI29" s="204"/>
      <c r="AJ29" s="208"/>
      <c r="AK29" s="33"/>
      <c r="AL29" s="33"/>
      <c r="AM29" s="33"/>
      <c r="AN29" s="33"/>
      <c r="AO29" s="33"/>
      <c r="AP29" s="33"/>
      <c r="AQ29" s="33"/>
      <c r="AR29" s="33"/>
    </row>
    <row r="30" spans="1:44" ht="15" customHeight="1" x14ac:dyDescent="0.25">
      <c r="A30" s="206"/>
      <c r="B30" s="206"/>
      <c r="C30" s="206"/>
      <c r="D30" s="206"/>
      <c r="E30" s="206"/>
      <c r="F30" s="206"/>
      <c r="G30" s="206"/>
      <c r="H30" s="206"/>
      <c r="I30" s="207" t="s">
        <v>125</v>
      </c>
      <c r="J30" s="207"/>
      <c r="K30" s="207"/>
      <c r="L30" s="207" t="s">
        <v>119</v>
      </c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4">
        <v>5900</v>
      </c>
      <c r="AB30" s="204"/>
      <c r="AC30" s="204"/>
      <c r="AD30" s="204" t="s">
        <v>120</v>
      </c>
      <c r="AE30" s="204"/>
      <c r="AF30" s="204"/>
      <c r="AG30" s="204"/>
      <c r="AH30" s="204"/>
      <c r="AI30" s="204"/>
      <c r="AJ30" s="208">
        <v>3474</v>
      </c>
    </row>
    <row r="31" spans="1:44" ht="15" customHeight="1" x14ac:dyDescent="0.25">
      <c r="A31" s="206"/>
      <c r="B31" s="206"/>
      <c r="C31" s="206"/>
      <c r="D31" s="206"/>
      <c r="E31" s="206"/>
      <c r="F31" s="206"/>
      <c r="G31" s="206"/>
      <c r="H31" s="206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4"/>
      <c r="AB31" s="204"/>
      <c r="AC31" s="204"/>
      <c r="AD31" s="204"/>
      <c r="AE31" s="204"/>
      <c r="AF31" s="204"/>
      <c r="AG31" s="204"/>
      <c r="AH31" s="204"/>
      <c r="AI31" s="204"/>
      <c r="AJ31" s="208"/>
    </row>
    <row r="32" spans="1:44" ht="15" customHeight="1" x14ac:dyDescent="0.25">
      <c r="A32" s="206"/>
      <c r="B32" s="206"/>
      <c r="C32" s="206"/>
      <c r="D32" s="206"/>
      <c r="E32" s="206"/>
      <c r="F32" s="206"/>
      <c r="G32" s="206"/>
      <c r="H32" s="206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4"/>
      <c r="AB32" s="204"/>
      <c r="AC32" s="204"/>
      <c r="AD32" s="204"/>
      <c r="AE32" s="204"/>
      <c r="AF32" s="204"/>
      <c r="AG32" s="204"/>
      <c r="AH32" s="204"/>
      <c r="AI32" s="204"/>
      <c r="AJ32" s="208"/>
    </row>
    <row r="33" spans="1:36" ht="15" customHeight="1" x14ac:dyDescent="0.25">
      <c r="A33" s="206"/>
      <c r="B33" s="206"/>
      <c r="C33" s="206"/>
      <c r="D33" s="206"/>
      <c r="E33" s="206"/>
      <c r="F33" s="206"/>
      <c r="G33" s="206"/>
      <c r="H33" s="206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4"/>
      <c r="AB33" s="204"/>
      <c r="AC33" s="204"/>
      <c r="AD33" s="204"/>
      <c r="AE33" s="204"/>
      <c r="AF33" s="204"/>
      <c r="AG33" s="204"/>
      <c r="AH33" s="204"/>
      <c r="AI33" s="204"/>
      <c r="AJ33" s="208"/>
    </row>
    <row r="34" spans="1:36" ht="15" customHeight="1" x14ac:dyDescent="0.25">
      <c r="A34" s="206"/>
      <c r="B34" s="206"/>
      <c r="C34" s="206"/>
      <c r="D34" s="206"/>
      <c r="E34" s="206"/>
      <c r="F34" s="206"/>
      <c r="G34" s="206"/>
      <c r="H34" s="206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4"/>
      <c r="AB34" s="204"/>
      <c r="AC34" s="204"/>
      <c r="AD34" s="204"/>
      <c r="AE34" s="204"/>
      <c r="AF34" s="204"/>
      <c r="AG34" s="204"/>
      <c r="AH34" s="204"/>
      <c r="AI34" s="204"/>
      <c r="AJ34" s="208"/>
    </row>
    <row r="35" spans="1:36" ht="3.75" customHeight="1" x14ac:dyDescent="0.25">
      <c r="A35" s="206"/>
      <c r="B35" s="206"/>
      <c r="C35" s="206"/>
      <c r="D35" s="206"/>
      <c r="E35" s="206"/>
      <c r="F35" s="206"/>
      <c r="G35" s="206"/>
      <c r="H35" s="206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4"/>
      <c r="AB35" s="204"/>
      <c r="AC35" s="204"/>
      <c r="AD35" s="204"/>
      <c r="AE35" s="204"/>
      <c r="AF35" s="204"/>
      <c r="AG35" s="204"/>
      <c r="AH35" s="204"/>
      <c r="AI35" s="204"/>
      <c r="AJ35" s="208"/>
    </row>
    <row r="36" spans="1:36" ht="15" hidden="1" customHeight="1" thickBot="1" x14ac:dyDescent="0.3">
      <c r="A36" s="206"/>
      <c r="B36" s="206"/>
      <c r="C36" s="206"/>
      <c r="D36" s="206"/>
      <c r="E36" s="206"/>
      <c r="F36" s="206"/>
      <c r="G36" s="206"/>
      <c r="H36" s="206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4"/>
      <c r="AB36" s="204"/>
      <c r="AC36" s="204"/>
      <c r="AD36" s="204"/>
      <c r="AE36" s="204"/>
      <c r="AF36" s="204"/>
      <c r="AG36" s="204"/>
      <c r="AH36" s="204"/>
      <c r="AI36" s="204"/>
      <c r="AJ36" s="208"/>
    </row>
    <row r="37" spans="1:36" ht="15" customHeight="1" x14ac:dyDescent="0.25">
      <c r="A37" s="206"/>
      <c r="B37" s="206"/>
      <c r="C37" s="206"/>
      <c r="D37" s="206"/>
      <c r="E37" s="206"/>
      <c r="F37" s="206"/>
      <c r="G37" s="206"/>
      <c r="H37" s="206"/>
      <c r="I37" s="207" t="s">
        <v>126</v>
      </c>
      <c r="J37" s="207"/>
      <c r="K37" s="207"/>
      <c r="L37" s="207" t="s">
        <v>119</v>
      </c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>
        <v>5900</v>
      </c>
      <c r="AB37" s="204"/>
      <c r="AC37" s="204"/>
      <c r="AD37" s="204" t="s">
        <v>120</v>
      </c>
      <c r="AE37" s="204"/>
      <c r="AF37" s="204"/>
      <c r="AG37" s="204"/>
      <c r="AH37" s="204"/>
      <c r="AI37" s="204"/>
      <c r="AJ37" s="208">
        <v>3205.5</v>
      </c>
    </row>
    <row r="38" spans="1:36" ht="15" customHeight="1" x14ac:dyDescent="0.25">
      <c r="A38" s="206"/>
      <c r="B38" s="206"/>
      <c r="C38" s="206"/>
      <c r="D38" s="206"/>
      <c r="E38" s="206"/>
      <c r="F38" s="206"/>
      <c r="G38" s="206"/>
      <c r="H38" s="206"/>
      <c r="I38" s="207"/>
      <c r="J38" s="207"/>
      <c r="K38" s="207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8"/>
    </row>
    <row r="39" spans="1:36" ht="15" customHeight="1" x14ac:dyDescent="0.25">
      <c r="A39" s="206"/>
      <c r="B39" s="206"/>
      <c r="C39" s="206"/>
      <c r="D39" s="206"/>
      <c r="E39" s="206"/>
      <c r="F39" s="206"/>
      <c r="G39" s="206"/>
      <c r="H39" s="206"/>
      <c r="I39" s="207"/>
      <c r="J39" s="207"/>
      <c r="K39" s="207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8"/>
    </row>
    <row r="40" spans="1:36" ht="15" customHeight="1" x14ac:dyDescent="0.25">
      <c r="A40" s="206"/>
      <c r="B40" s="206"/>
      <c r="C40" s="206"/>
      <c r="D40" s="206"/>
      <c r="E40" s="206"/>
      <c r="F40" s="206"/>
      <c r="G40" s="206"/>
      <c r="H40" s="206"/>
      <c r="I40" s="207"/>
      <c r="J40" s="207"/>
      <c r="K40" s="207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8"/>
    </row>
    <row r="41" spans="1:36" ht="15" customHeight="1" x14ac:dyDescent="0.25">
      <c r="A41" s="206"/>
      <c r="B41" s="206"/>
      <c r="C41" s="206"/>
      <c r="D41" s="206"/>
      <c r="E41" s="206"/>
      <c r="F41" s="206"/>
      <c r="G41" s="206"/>
      <c r="H41" s="206"/>
      <c r="I41" s="207"/>
      <c r="J41" s="207"/>
      <c r="K41" s="207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8"/>
    </row>
    <row r="42" spans="1:36" ht="1.7" customHeight="1" x14ac:dyDescent="0.25">
      <c r="A42" s="206"/>
      <c r="B42" s="206"/>
      <c r="C42" s="206"/>
      <c r="D42" s="206"/>
      <c r="E42" s="206"/>
      <c r="F42" s="206"/>
      <c r="G42" s="206"/>
      <c r="H42" s="206"/>
      <c r="I42" s="207"/>
      <c r="J42" s="207"/>
      <c r="K42" s="207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8"/>
    </row>
    <row r="43" spans="1:36" ht="15" hidden="1" customHeight="1" thickBot="1" x14ac:dyDescent="0.3">
      <c r="A43" s="206"/>
      <c r="B43" s="206"/>
      <c r="C43" s="206"/>
      <c r="D43" s="206"/>
      <c r="E43" s="206"/>
      <c r="F43" s="206"/>
      <c r="G43" s="206"/>
      <c r="H43" s="206"/>
      <c r="I43" s="207"/>
      <c r="J43" s="207"/>
      <c r="K43" s="207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8"/>
    </row>
    <row r="44" spans="1:36" ht="15" customHeight="1" x14ac:dyDescent="0.25">
      <c r="A44" s="206"/>
      <c r="B44" s="206"/>
      <c r="C44" s="206"/>
      <c r="D44" s="206"/>
      <c r="E44" s="206"/>
      <c r="F44" s="206"/>
      <c r="G44" s="206"/>
      <c r="H44" s="206"/>
      <c r="I44" s="207" t="s">
        <v>127</v>
      </c>
      <c r="J44" s="207"/>
      <c r="K44" s="207"/>
      <c r="L44" s="207" t="s">
        <v>128</v>
      </c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4"/>
      <c r="AH44" s="204"/>
      <c r="AI44" s="204"/>
      <c r="AJ44" s="208">
        <f>23.4*AJ2</f>
        <v>1638</v>
      </c>
    </row>
    <row r="45" spans="1:36" ht="15" customHeight="1" x14ac:dyDescent="0.25">
      <c r="A45" s="206"/>
      <c r="B45" s="206"/>
      <c r="C45" s="206"/>
      <c r="D45" s="206"/>
      <c r="E45" s="206"/>
      <c r="F45" s="206"/>
      <c r="G45" s="206"/>
      <c r="H45" s="206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4"/>
      <c r="AH45" s="204"/>
      <c r="AI45" s="204"/>
      <c r="AJ45" s="208"/>
    </row>
    <row r="46" spans="1:36" ht="15" customHeight="1" x14ac:dyDescent="0.25">
      <c r="A46" s="206"/>
      <c r="B46" s="206"/>
      <c r="C46" s="206"/>
      <c r="D46" s="206"/>
      <c r="E46" s="206"/>
      <c r="F46" s="206"/>
      <c r="G46" s="206"/>
      <c r="H46" s="206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4"/>
      <c r="AH46" s="204"/>
      <c r="AI46" s="204"/>
      <c r="AJ46" s="208"/>
    </row>
    <row r="47" spans="1:36" ht="15" customHeight="1" x14ac:dyDescent="0.25">
      <c r="A47" s="206"/>
      <c r="B47" s="206"/>
      <c r="C47" s="206"/>
      <c r="D47" s="206"/>
      <c r="E47" s="206"/>
      <c r="F47" s="206"/>
      <c r="G47" s="206"/>
      <c r="H47" s="206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4"/>
      <c r="AH47" s="204"/>
      <c r="AI47" s="204"/>
      <c r="AJ47" s="208"/>
    </row>
    <row r="48" spans="1:36" ht="15" customHeight="1" x14ac:dyDescent="0.25">
      <c r="A48" s="206"/>
      <c r="B48" s="206"/>
      <c r="C48" s="206"/>
      <c r="D48" s="206"/>
      <c r="E48" s="206"/>
      <c r="F48" s="206"/>
      <c r="G48" s="206"/>
      <c r="H48" s="206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4"/>
      <c r="AH48" s="204"/>
      <c r="AI48" s="204"/>
      <c r="AJ48" s="208"/>
    </row>
    <row r="49" spans="1:36" ht="2.25" customHeight="1" x14ac:dyDescent="0.25">
      <c r="A49" s="206"/>
      <c r="B49" s="206"/>
      <c r="C49" s="206"/>
      <c r="D49" s="206"/>
      <c r="E49" s="206"/>
      <c r="F49" s="206"/>
      <c r="G49" s="206"/>
      <c r="H49" s="206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4"/>
      <c r="AH49" s="204"/>
      <c r="AI49" s="204"/>
      <c r="AJ49" s="208"/>
    </row>
    <row r="50" spans="1:36" ht="15" hidden="1" customHeight="1" thickBot="1" x14ac:dyDescent="0.3">
      <c r="A50" s="206"/>
      <c r="B50" s="206"/>
      <c r="C50" s="206"/>
      <c r="D50" s="206"/>
      <c r="E50" s="206"/>
      <c r="F50" s="206"/>
      <c r="G50" s="206"/>
      <c r="H50" s="206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4"/>
      <c r="AH50" s="204"/>
      <c r="AI50" s="204"/>
      <c r="AJ50" s="208"/>
    </row>
    <row r="51" spans="1:36" ht="15" customHeight="1" x14ac:dyDescent="0.25">
      <c r="A51" s="206"/>
      <c r="B51" s="206"/>
      <c r="C51" s="206"/>
      <c r="D51" s="206"/>
      <c r="E51" s="206"/>
      <c r="F51" s="206"/>
      <c r="G51" s="206"/>
      <c r="H51" s="206"/>
      <c r="I51" s="207" t="s">
        <v>129</v>
      </c>
      <c r="J51" s="207"/>
      <c r="K51" s="207"/>
      <c r="L51" s="207" t="s">
        <v>128</v>
      </c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4"/>
      <c r="AH51" s="204"/>
      <c r="AI51" s="204"/>
      <c r="AJ51" s="208">
        <f>35.1*AJ2</f>
        <v>2457</v>
      </c>
    </row>
    <row r="52" spans="1:36" ht="15" customHeight="1" x14ac:dyDescent="0.25">
      <c r="A52" s="206"/>
      <c r="B52" s="206"/>
      <c r="C52" s="206"/>
      <c r="D52" s="206"/>
      <c r="E52" s="206"/>
      <c r="F52" s="206"/>
      <c r="G52" s="206"/>
      <c r="H52" s="206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4"/>
      <c r="AH52" s="204"/>
      <c r="AI52" s="204"/>
      <c r="AJ52" s="208"/>
    </row>
    <row r="53" spans="1:36" ht="15" customHeight="1" x14ac:dyDescent="0.25">
      <c r="A53" s="206"/>
      <c r="B53" s="206"/>
      <c r="C53" s="206"/>
      <c r="D53" s="206"/>
      <c r="E53" s="206"/>
      <c r="F53" s="206"/>
      <c r="G53" s="206"/>
      <c r="H53" s="206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4"/>
      <c r="AH53" s="204"/>
      <c r="AI53" s="204"/>
      <c r="AJ53" s="208"/>
    </row>
    <row r="54" spans="1:36" ht="15" customHeight="1" x14ac:dyDescent="0.25">
      <c r="A54" s="206"/>
      <c r="B54" s="206"/>
      <c r="C54" s="206"/>
      <c r="D54" s="206"/>
      <c r="E54" s="206"/>
      <c r="F54" s="206"/>
      <c r="G54" s="206"/>
      <c r="H54" s="206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4"/>
      <c r="AH54" s="204"/>
      <c r="AI54" s="204"/>
      <c r="AJ54" s="208"/>
    </row>
    <row r="55" spans="1:36" ht="8.25" customHeight="1" x14ac:dyDescent="0.25">
      <c r="A55" s="206"/>
      <c r="B55" s="206"/>
      <c r="C55" s="206"/>
      <c r="D55" s="206"/>
      <c r="E55" s="206"/>
      <c r="F55" s="206"/>
      <c r="G55" s="206"/>
      <c r="H55" s="206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4"/>
      <c r="AH55" s="204"/>
      <c r="AI55" s="204"/>
      <c r="AJ55" s="208"/>
    </row>
    <row r="56" spans="1:36" ht="6.75" customHeight="1" x14ac:dyDescent="0.25">
      <c r="A56" s="206"/>
      <c r="B56" s="206"/>
      <c r="C56" s="206"/>
      <c r="D56" s="206"/>
      <c r="E56" s="206"/>
      <c r="F56" s="206"/>
      <c r="G56" s="206"/>
      <c r="H56" s="206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4"/>
      <c r="AH56" s="204"/>
      <c r="AI56" s="204"/>
      <c r="AJ56" s="208"/>
    </row>
    <row r="57" spans="1:36" ht="15" hidden="1" customHeight="1" thickBot="1" x14ac:dyDescent="0.3">
      <c r="A57" s="206"/>
      <c r="B57" s="206"/>
      <c r="C57" s="206"/>
      <c r="D57" s="206"/>
      <c r="E57" s="206"/>
      <c r="F57" s="206"/>
      <c r="G57" s="206"/>
      <c r="H57" s="206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4"/>
      <c r="AH57" s="204"/>
      <c r="AI57" s="204"/>
      <c r="AJ57" s="208"/>
    </row>
    <row r="58" spans="1:36" ht="15" customHeight="1" x14ac:dyDescent="0.25">
      <c r="A58" s="206"/>
      <c r="B58" s="206"/>
      <c r="C58" s="206"/>
      <c r="D58" s="206"/>
      <c r="E58" s="206"/>
      <c r="F58" s="206"/>
      <c r="G58" s="206"/>
      <c r="H58" s="206"/>
      <c r="I58" s="207" t="s">
        <v>137</v>
      </c>
      <c r="J58" s="207"/>
      <c r="K58" s="207"/>
      <c r="L58" s="207" t="s">
        <v>136</v>
      </c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4"/>
      <c r="AH58" s="204"/>
      <c r="AI58" s="204"/>
      <c r="AJ58" s="208">
        <v>20</v>
      </c>
    </row>
    <row r="59" spans="1:36" ht="15" customHeight="1" x14ac:dyDescent="0.25">
      <c r="A59" s="206"/>
      <c r="B59" s="206"/>
      <c r="C59" s="206"/>
      <c r="D59" s="206"/>
      <c r="E59" s="206"/>
      <c r="F59" s="206"/>
      <c r="G59" s="206"/>
      <c r="H59" s="206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4"/>
      <c r="AH59" s="204"/>
      <c r="AI59" s="204"/>
      <c r="AJ59" s="208"/>
    </row>
    <row r="60" spans="1:36" ht="15" customHeight="1" x14ac:dyDescent="0.25">
      <c r="A60" s="206"/>
      <c r="B60" s="206"/>
      <c r="C60" s="206"/>
      <c r="D60" s="206"/>
      <c r="E60" s="206"/>
      <c r="F60" s="206"/>
      <c r="G60" s="206"/>
      <c r="H60" s="206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4"/>
      <c r="AH60" s="204"/>
      <c r="AI60" s="204"/>
      <c r="AJ60" s="208"/>
    </row>
    <row r="61" spans="1:36" ht="8.25" customHeight="1" x14ac:dyDescent="0.25">
      <c r="A61" s="206"/>
      <c r="B61" s="206"/>
      <c r="C61" s="206"/>
      <c r="D61" s="206"/>
      <c r="E61" s="206"/>
      <c r="F61" s="206"/>
      <c r="G61" s="206"/>
      <c r="H61" s="206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4"/>
      <c r="AH61" s="204"/>
      <c r="AI61" s="204"/>
      <c r="AJ61" s="208"/>
    </row>
    <row r="62" spans="1:36" ht="15" customHeight="1" x14ac:dyDescent="0.25">
      <c r="A62" s="206"/>
      <c r="B62" s="206"/>
      <c r="C62" s="206"/>
      <c r="D62" s="206"/>
      <c r="E62" s="206"/>
      <c r="F62" s="206"/>
      <c r="G62" s="206"/>
      <c r="H62" s="206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4"/>
      <c r="AH62" s="204"/>
      <c r="AI62" s="204"/>
      <c r="AJ62" s="208"/>
    </row>
    <row r="63" spans="1:36" ht="6" hidden="1" customHeight="1" thickBot="1" x14ac:dyDescent="0.3">
      <c r="A63" s="206"/>
      <c r="B63" s="206"/>
      <c r="C63" s="206"/>
      <c r="D63" s="206"/>
      <c r="E63" s="206"/>
      <c r="F63" s="206"/>
      <c r="G63" s="206"/>
      <c r="H63" s="206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4"/>
      <c r="AH63" s="204"/>
      <c r="AI63" s="204"/>
      <c r="AJ63" s="208"/>
    </row>
    <row r="64" spans="1:36" ht="15" hidden="1" customHeight="1" thickBot="1" x14ac:dyDescent="0.3">
      <c r="A64" s="206"/>
      <c r="B64" s="206"/>
      <c r="C64" s="206"/>
      <c r="D64" s="206"/>
      <c r="E64" s="206"/>
      <c r="F64" s="206"/>
      <c r="G64" s="206"/>
      <c r="H64" s="206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4"/>
      <c r="AH64" s="204"/>
      <c r="AI64" s="204"/>
      <c r="AJ64" s="208"/>
    </row>
    <row r="65" spans="1:36" ht="15" customHeight="1" x14ac:dyDescent="0.25">
      <c r="A65" s="206"/>
      <c r="B65" s="206"/>
      <c r="C65" s="206"/>
      <c r="D65" s="206"/>
      <c r="E65" s="206"/>
      <c r="F65" s="206"/>
      <c r="G65" s="206"/>
      <c r="H65" s="206"/>
      <c r="I65" s="207" t="s">
        <v>142</v>
      </c>
      <c r="J65" s="207"/>
      <c r="K65" s="207"/>
      <c r="L65" s="207" t="s">
        <v>136</v>
      </c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4"/>
      <c r="AH65" s="204"/>
      <c r="AI65" s="204"/>
      <c r="AJ65" s="208">
        <v>15</v>
      </c>
    </row>
    <row r="66" spans="1:36" ht="15" customHeight="1" x14ac:dyDescent="0.25">
      <c r="A66" s="206"/>
      <c r="B66" s="206"/>
      <c r="C66" s="206"/>
      <c r="D66" s="206"/>
      <c r="E66" s="206"/>
      <c r="F66" s="206"/>
      <c r="G66" s="206"/>
      <c r="H66" s="206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4"/>
      <c r="AH66" s="204"/>
      <c r="AI66" s="204"/>
      <c r="AJ66" s="208"/>
    </row>
    <row r="67" spans="1:36" ht="15" customHeight="1" x14ac:dyDescent="0.25">
      <c r="A67" s="206"/>
      <c r="B67" s="206"/>
      <c r="C67" s="206"/>
      <c r="D67" s="206"/>
      <c r="E67" s="206"/>
      <c r="F67" s="206"/>
      <c r="G67" s="206"/>
      <c r="H67" s="206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4"/>
      <c r="AH67" s="204"/>
      <c r="AI67" s="204"/>
      <c r="AJ67" s="208"/>
    </row>
    <row r="68" spans="1:36" ht="9.75" customHeight="1" x14ac:dyDescent="0.25">
      <c r="A68" s="206"/>
      <c r="B68" s="206"/>
      <c r="C68" s="206"/>
      <c r="D68" s="206"/>
      <c r="E68" s="206"/>
      <c r="F68" s="206"/>
      <c r="G68" s="206"/>
      <c r="H68" s="206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4"/>
      <c r="AH68" s="204"/>
      <c r="AI68" s="204"/>
      <c r="AJ68" s="208"/>
    </row>
    <row r="69" spans="1:36" ht="15" customHeight="1" x14ac:dyDescent="0.25">
      <c r="A69" s="206"/>
      <c r="B69" s="206"/>
      <c r="C69" s="206"/>
      <c r="D69" s="206"/>
      <c r="E69" s="206"/>
      <c r="F69" s="206"/>
      <c r="G69" s="206"/>
      <c r="H69" s="206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4"/>
      <c r="AH69" s="204"/>
      <c r="AI69" s="204"/>
      <c r="AJ69" s="208"/>
    </row>
    <row r="70" spans="1:36" ht="6" customHeight="1" x14ac:dyDescent="0.25">
      <c r="A70" s="206"/>
      <c r="B70" s="206"/>
      <c r="C70" s="206"/>
      <c r="D70" s="206"/>
      <c r="E70" s="206"/>
      <c r="F70" s="206"/>
      <c r="G70" s="206"/>
      <c r="H70" s="206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4"/>
      <c r="AH70" s="204"/>
      <c r="AI70" s="204"/>
      <c r="AJ70" s="208"/>
    </row>
    <row r="71" spans="1:36" ht="0.75" hidden="1" customHeight="1" thickBot="1" x14ac:dyDescent="0.3">
      <c r="A71" s="206"/>
      <c r="B71" s="206"/>
      <c r="C71" s="206"/>
      <c r="D71" s="206"/>
      <c r="E71" s="206"/>
      <c r="F71" s="206"/>
      <c r="G71" s="206"/>
      <c r="H71" s="206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4"/>
      <c r="AH71" s="204"/>
      <c r="AI71" s="204"/>
      <c r="AJ71" s="208"/>
    </row>
    <row r="72" spans="1:36" ht="15" customHeight="1" x14ac:dyDescent="0.25">
      <c r="A72" s="205" t="s">
        <v>138</v>
      </c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</row>
    <row r="73" spans="1:36" ht="15" customHeight="1" x14ac:dyDescent="0.25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</row>
    <row r="74" spans="1:36" ht="15" customHeight="1" x14ac:dyDescent="0.25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</row>
    <row r="75" spans="1:36" ht="1.7" customHeight="1" x14ac:dyDescent="0.25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</row>
    <row r="76" spans="1:36" ht="8.25" customHeight="1" x14ac:dyDescent="0.25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</row>
    <row r="77" spans="1:36" ht="10.5" customHeight="1" x14ac:dyDescent="0.25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</row>
  </sheetData>
  <mergeCells count="116">
    <mergeCell ref="A1:AJ1"/>
    <mergeCell ref="A3:H5"/>
    <mergeCell ref="I3:K5"/>
    <mergeCell ref="L3:Z5"/>
    <mergeCell ref="AA3:AC5"/>
    <mergeCell ref="AD3:AF5"/>
    <mergeCell ref="AG3:AI5"/>
    <mergeCell ref="AJ3:AJ5"/>
    <mergeCell ref="AG16:AI16"/>
    <mergeCell ref="A2:AF2"/>
    <mergeCell ref="AG17:AI17"/>
    <mergeCell ref="AG18:AI18"/>
    <mergeCell ref="AG19:AI19"/>
    <mergeCell ref="AG20:AI20"/>
    <mergeCell ref="AG21:AI21"/>
    <mergeCell ref="AJ6:AJ13"/>
    <mergeCell ref="AD7:AF13"/>
    <mergeCell ref="A14:H21"/>
    <mergeCell ref="I14:K21"/>
    <mergeCell ref="L14:Z21"/>
    <mergeCell ref="AA14:AC21"/>
    <mergeCell ref="AD14:AF21"/>
    <mergeCell ref="AG14:AI14"/>
    <mergeCell ref="AJ14:AJ21"/>
    <mergeCell ref="AG15:AI15"/>
    <mergeCell ref="A6:H13"/>
    <mergeCell ref="I6:K13"/>
    <mergeCell ref="L6:Z13"/>
    <mergeCell ref="AA6:AC13"/>
    <mergeCell ref="AD6:AF6"/>
    <mergeCell ref="AG6:AI6"/>
    <mergeCell ref="AJ22:AJ29"/>
    <mergeCell ref="AG23:AI23"/>
    <mergeCell ref="AG24:AI24"/>
    <mergeCell ref="AG25:AI25"/>
    <mergeCell ref="AG26:AI26"/>
    <mergeCell ref="AG27:AI27"/>
    <mergeCell ref="AG28:AI28"/>
    <mergeCell ref="AG29:AI29"/>
    <mergeCell ref="A22:H29"/>
    <mergeCell ref="I22:K29"/>
    <mergeCell ref="L22:Z29"/>
    <mergeCell ref="AA22:AC29"/>
    <mergeCell ref="AD22:AF29"/>
    <mergeCell ref="AG22:AI22"/>
    <mergeCell ref="A37:H43"/>
    <mergeCell ref="I37:K43"/>
    <mergeCell ref="L37:Z43"/>
    <mergeCell ref="AA37:AC43"/>
    <mergeCell ref="AD37:AF43"/>
    <mergeCell ref="AG37:AI37"/>
    <mergeCell ref="AJ30:AJ36"/>
    <mergeCell ref="AG31:AI31"/>
    <mergeCell ref="AG32:AI32"/>
    <mergeCell ref="AG33:AI33"/>
    <mergeCell ref="AG34:AI34"/>
    <mergeCell ref="AG35:AI35"/>
    <mergeCell ref="AG36:AI36"/>
    <mergeCell ref="A30:H36"/>
    <mergeCell ref="I30:K36"/>
    <mergeCell ref="L30:Z36"/>
    <mergeCell ref="AA30:AC36"/>
    <mergeCell ref="AD30:AF36"/>
    <mergeCell ref="AG30:AI30"/>
    <mergeCell ref="AJ44:AJ50"/>
    <mergeCell ref="AG45:AI45"/>
    <mergeCell ref="AG46:AI46"/>
    <mergeCell ref="AG47:AI47"/>
    <mergeCell ref="AG48:AI48"/>
    <mergeCell ref="AG49:AI49"/>
    <mergeCell ref="AJ37:AJ43"/>
    <mergeCell ref="AG38:AI38"/>
    <mergeCell ref="AG39:AI39"/>
    <mergeCell ref="AG40:AI40"/>
    <mergeCell ref="AG41:AI41"/>
    <mergeCell ref="AG42:AI42"/>
    <mergeCell ref="AG43:AI43"/>
    <mergeCell ref="A58:H64"/>
    <mergeCell ref="I58:K64"/>
    <mergeCell ref="L58:AF64"/>
    <mergeCell ref="AG58:AI58"/>
    <mergeCell ref="AG50:AI50"/>
    <mergeCell ref="A51:H57"/>
    <mergeCell ref="I51:K57"/>
    <mergeCell ref="L51:AF57"/>
    <mergeCell ref="AG51:AI51"/>
    <mergeCell ref="AG52:AI52"/>
    <mergeCell ref="AG53:AI53"/>
    <mergeCell ref="AG54:AI54"/>
    <mergeCell ref="AG55:AI55"/>
    <mergeCell ref="A44:H50"/>
    <mergeCell ref="I44:K50"/>
    <mergeCell ref="L44:AF50"/>
    <mergeCell ref="AG44:AI44"/>
    <mergeCell ref="AJ58:AJ64"/>
    <mergeCell ref="AG59:AI59"/>
    <mergeCell ref="AG60:AI60"/>
    <mergeCell ref="AG61:AI61"/>
    <mergeCell ref="AG62:AI62"/>
    <mergeCell ref="AG63:AI63"/>
    <mergeCell ref="AG64:AI64"/>
    <mergeCell ref="AG56:AI56"/>
    <mergeCell ref="AG57:AI57"/>
    <mergeCell ref="AJ51:AJ57"/>
    <mergeCell ref="AG71:AI71"/>
    <mergeCell ref="A72:AJ77"/>
    <mergeCell ref="A65:H71"/>
    <mergeCell ref="I65:K71"/>
    <mergeCell ref="L65:AF71"/>
    <mergeCell ref="AG65:AI65"/>
    <mergeCell ref="AJ65:AJ71"/>
    <mergeCell ref="AG66:AI66"/>
    <mergeCell ref="AG67:AI67"/>
    <mergeCell ref="AG68:AI68"/>
    <mergeCell ref="AG69:AI69"/>
    <mergeCell ref="AG70:AI70"/>
  </mergeCells>
  <pageMargins left="0.23622047244094491" right="0.23622047244094491" top="0" bottom="0.74803149606299213" header="0" footer="0.31496062992125984"/>
  <pageSetup paperSize="9" fitToHeight="0" orientation="portrait" r:id="rId1"/>
  <rowBreaks count="1" manualBreakCount="1">
    <brk id="71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AS72"/>
  <sheetViews>
    <sheetView view="pageBreakPreview" zoomScaleNormal="100" zoomScaleSheetLayoutView="100" workbookViewId="0">
      <selection activeCell="I51" sqref="I51:Z58"/>
    </sheetView>
  </sheetViews>
  <sheetFormatPr defaultColWidth="9.140625" defaultRowHeight="15" x14ac:dyDescent="0.25"/>
  <cols>
    <col min="1" max="7" width="3.28515625" style="36" customWidth="1"/>
    <col min="8" max="8" width="8.42578125" style="36" customWidth="1"/>
    <col min="9" max="10" width="3.28515625" style="36" customWidth="1"/>
    <col min="11" max="11" width="5.5703125" style="36" customWidth="1"/>
    <col min="12" max="26" width="1.85546875" style="36" customWidth="1"/>
    <col min="27" max="28" width="2.7109375" style="36" customWidth="1"/>
    <col min="29" max="29" width="3.28515625" style="36" customWidth="1"/>
    <col min="30" max="32" width="2.7109375" style="36" customWidth="1"/>
    <col min="33" max="35" width="2.7109375" style="36" hidden="1" customWidth="1"/>
    <col min="36" max="36" width="10.85546875" style="42" customWidth="1"/>
    <col min="37" max="16384" width="9.140625" style="36"/>
  </cols>
  <sheetData>
    <row r="1" spans="1:45" ht="18.75" x14ac:dyDescent="0.3">
      <c r="A1" s="215" t="s">
        <v>210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</row>
    <row r="2" spans="1:45" ht="33.950000000000003" customHeight="1" x14ac:dyDescent="0.25">
      <c r="A2" s="223" t="s">
        <v>227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</row>
    <row r="3" spans="1:45" ht="15" customHeight="1" x14ac:dyDescent="0.25">
      <c r="A3" s="216" t="s">
        <v>52</v>
      </c>
      <c r="B3" s="216"/>
      <c r="C3" s="216"/>
      <c r="D3" s="216"/>
      <c r="E3" s="216"/>
      <c r="F3" s="216"/>
      <c r="G3" s="216"/>
      <c r="H3" s="216"/>
      <c r="I3" s="217" t="s">
        <v>115</v>
      </c>
      <c r="J3" s="217"/>
      <c r="K3" s="217"/>
      <c r="L3" s="216" t="s">
        <v>1</v>
      </c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8" t="s">
        <v>143</v>
      </c>
      <c r="AB3" s="218"/>
      <c r="AC3" s="218"/>
      <c r="AD3" s="218" t="s">
        <v>116</v>
      </c>
      <c r="AE3" s="218"/>
      <c r="AF3" s="218"/>
      <c r="AG3" s="218" t="s">
        <v>57</v>
      </c>
      <c r="AH3" s="218"/>
      <c r="AI3" s="218"/>
      <c r="AJ3" s="219" t="s">
        <v>144</v>
      </c>
      <c r="AP3" s="37"/>
    </row>
    <row r="4" spans="1:45" x14ac:dyDescent="0.25">
      <c r="A4" s="216"/>
      <c r="B4" s="216"/>
      <c r="C4" s="216"/>
      <c r="D4" s="216"/>
      <c r="E4" s="216"/>
      <c r="F4" s="216"/>
      <c r="G4" s="216"/>
      <c r="H4" s="216"/>
      <c r="I4" s="217"/>
      <c r="J4" s="217"/>
      <c r="K4" s="217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8"/>
      <c r="AB4" s="218"/>
      <c r="AC4" s="218"/>
      <c r="AD4" s="218"/>
      <c r="AE4" s="218"/>
      <c r="AF4" s="218"/>
      <c r="AG4" s="218"/>
      <c r="AH4" s="218"/>
      <c r="AI4" s="218"/>
      <c r="AJ4" s="219"/>
    </row>
    <row r="5" spans="1:45" ht="9.75" customHeight="1" x14ac:dyDescent="0.25">
      <c r="A5" s="216"/>
      <c r="B5" s="216"/>
      <c r="C5" s="216"/>
      <c r="D5" s="216"/>
      <c r="E5" s="216"/>
      <c r="F5" s="216"/>
      <c r="G5" s="216"/>
      <c r="H5" s="216"/>
      <c r="I5" s="217"/>
      <c r="J5" s="217"/>
      <c r="K5" s="217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8"/>
      <c r="AB5" s="218"/>
      <c r="AC5" s="218"/>
      <c r="AD5" s="218"/>
      <c r="AE5" s="218"/>
      <c r="AF5" s="218"/>
      <c r="AG5" s="218"/>
      <c r="AH5" s="218"/>
      <c r="AI5" s="218"/>
      <c r="AJ5" s="219"/>
    </row>
    <row r="6" spans="1:45" ht="15" customHeight="1" x14ac:dyDescent="0.25">
      <c r="A6" s="222"/>
      <c r="B6" s="222"/>
      <c r="C6" s="222"/>
      <c r="D6" s="222"/>
      <c r="E6" s="222"/>
      <c r="F6" s="222"/>
      <c r="G6" s="222"/>
      <c r="H6" s="222"/>
      <c r="I6" s="222" t="s">
        <v>146</v>
      </c>
      <c r="J6" s="222"/>
      <c r="K6" s="222"/>
      <c r="L6" s="218" t="s">
        <v>145</v>
      </c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7">
        <v>8</v>
      </c>
      <c r="AB6" s="217"/>
      <c r="AC6" s="217"/>
      <c r="AD6" s="222">
        <v>2800</v>
      </c>
      <c r="AE6" s="222"/>
      <c r="AF6" s="222"/>
      <c r="AG6" s="221">
        <v>775</v>
      </c>
      <c r="AH6" s="221"/>
      <c r="AI6" s="221"/>
      <c r="AJ6" s="220">
        <v>256</v>
      </c>
      <c r="AL6" s="38"/>
      <c r="AM6" s="38"/>
      <c r="AN6" s="38"/>
      <c r="AO6" s="38"/>
      <c r="AP6" s="38"/>
      <c r="AQ6" s="38"/>
      <c r="AR6" s="38"/>
      <c r="AS6" s="38"/>
    </row>
    <row r="7" spans="1:45" x14ac:dyDescent="0.25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7"/>
      <c r="AB7" s="217"/>
      <c r="AC7" s="217"/>
      <c r="AD7" s="222"/>
      <c r="AE7" s="222"/>
      <c r="AF7" s="222"/>
      <c r="AG7" s="221">
        <v>807</v>
      </c>
      <c r="AH7" s="221"/>
      <c r="AI7" s="221"/>
      <c r="AJ7" s="220"/>
      <c r="AL7" s="38"/>
      <c r="AM7" s="38"/>
      <c r="AN7" s="38"/>
      <c r="AO7" s="38"/>
      <c r="AP7" s="38"/>
      <c r="AQ7" s="38"/>
      <c r="AR7" s="38"/>
      <c r="AS7" s="38"/>
    </row>
    <row r="8" spans="1:45" x14ac:dyDescent="0.25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7"/>
      <c r="AB8" s="217"/>
      <c r="AC8" s="217"/>
      <c r="AD8" s="222"/>
      <c r="AE8" s="222"/>
      <c r="AF8" s="222"/>
      <c r="AG8" s="221">
        <v>840</v>
      </c>
      <c r="AH8" s="221"/>
      <c r="AI8" s="221"/>
      <c r="AJ8" s="220"/>
      <c r="AL8" s="38"/>
      <c r="AM8" s="38"/>
      <c r="AN8" s="38"/>
      <c r="AO8" s="38"/>
      <c r="AP8" s="38"/>
      <c r="AQ8" s="38"/>
      <c r="AR8" s="38"/>
      <c r="AS8" s="38"/>
    </row>
    <row r="9" spans="1:45" x14ac:dyDescent="0.25">
      <c r="A9" s="222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7"/>
      <c r="AB9" s="217"/>
      <c r="AC9" s="217"/>
      <c r="AD9" s="222"/>
      <c r="AE9" s="222"/>
      <c r="AF9" s="222"/>
      <c r="AG9" s="221">
        <v>872</v>
      </c>
      <c r="AH9" s="221"/>
      <c r="AI9" s="221"/>
      <c r="AJ9" s="220"/>
      <c r="AL9" s="38"/>
      <c r="AM9" s="38"/>
      <c r="AN9" s="38"/>
      <c r="AO9" s="38"/>
      <c r="AP9" s="38"/>
      <c r="AQ9" s="38"/>
      <c r="AR9" s="38"/>
      <c r="AS9" s="38"/>
    </row>
    <row r="10" spans="1:45" ht="6" customHeight="1" x14ac:dyDescent="0.25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7"/>
      <c r="AB10" s="217"/>
      <c r="AC10" s="217"/>
      <c r="AD10" s="222"/>
      <c r="AE10" s="222"/>
      <c r="AF10" s="222"/>
      <c r="AG10" s="221">
        <v>904</v>
      </c>
      <c r="AH10" s="221"/>
      <c r="AI10" s="221"/>
      <c r="AJ10" s="220"/>
      <c r="AL10" s="38"/>
      <c r="AM10" s="38"/>
      <c r="AN10" s="38"/>
      <c r="AO10" s="38"/>
      <c r="AP10" s="38"/>
      <c r="AQ10" s="38"/>
      <c r="AR10" s="38"/>
      <c r="AS10" s="38"/>
    </row>
    <row r="11" spans="1:45" ht="13.5" customHeight="1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7"/>
      <c r="AB11" s="217"/>
      <c r="AC11" s="217"/>
      <c r="AD11" s="222"/>
      <c r="AE11" s="222"/>
      <c r="AF11" s="222"/>
      <c r="AG11" s="221">
        <v>936</v>
      </c>
      <c r="AH11" s="221"/>
      <c r="AI11" s="221"/>
      <c r="AJ11" s="220"/>
      <c r="AL11" s="38"/>
      <c r="AM11" s="38"/>
      <c r="AN11" s="38"/>
      <c r="AO11" s="38"/>
      <c r="AP11" s="38"/>
      <c r="AQ11" s="38"/>
      <c r="AR11" s="38"/>
      <c r="AS11" s="38"/>
    </row>
    <row r="12" spans="1:45" ht="11.25" hidden="1" customHeight="1" x14ac:dyDescent="0.25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7"/>
      <c r="AB12" s="217"/>
      <c r="AC12" s="217"/>
      <c r="AD12" s="222"/>
      <c r="AE12" s="222"/>
      <c r="AF12" s="222"/>
      <c r="AG12" s="221">
        <v>969</v>
      </c>
      <c r="AH12" s="221"/>
      <c r="AI12" s="221"/>
      <c r="AJ12" s="220"/>
      <c r="AL12" s="38"/>
      <c r="AM12" s="38"/>
      <c r="AN12" s="38"/>
      <c r="AO12" s="38"/>
      <c r="AP12" s="38"/>
      <c r="AQ12" s="38"/>
      <c r="AR12" s="38"/>
      <c r="AS12" s="38"/>
    </row>
    <row r="13" spans="1:45" ht="7.5" hidden="1" customHeight="1" x14ac:dyDescent="0.25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7"/>
      <c r="AB13" s="217"/>
      <c r="AC13" s="217"/>
      <c r="AD13" s="222"/>
      <c r="AE13" s="222"/>
      <c r="AF13" s="222"/>
      <c r="AG13" s="63"/>
      <c r="AH13" s="63"/>
      <c r="AI13" s="63"/>
      <c r="AJ13" s="220"/>
      <c r="AL13" s="38"/>
      <c r="AM13" s="38"/>
      <c r="AN13" s="38"/>
      <c r="AO13" s="38"/>
      <c r="AP13" s="38"/>
      <c r="AQ13" s="38"/>
      <c r="AR13" s="38"/>
      <c r="AS13" s="38"/>
    </row>
    <row r="14" spans="1:45" ht="15" hidden="1" customHeight="1" x14ac:dyDescent="0.25">
      <c r="A14" s="222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7"/>
      <c r="AB14" s="217"/>
      <c r="AC14" s="217"/>
      <c r="AD14" s="222"/>
      <c r="AE14" s="222"/>
      <c r="AF14" s="222"/>
      <c r="AG14" s="221"/>
      <c r="AH14" s="221"/>
      <c r="AI14" s="221"/>
      <c r="AJ14" s="220"/>
      <c r="AL14" s="38"/>
      <c r="AM14" s="38"/>
      <c r="AN14" s="38"/>
      <c r="AO14" s="38"/>
      <c r="AP14" s="38"/>
      <c r="AQ14" s="38"/>
      <c r="AR14" s="38"/>
      <c r="AS14" s="38"/>
    </row>
    <row r="15" spans="1:45" x14ac:dyDescent="0.25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 t="s">
        <v>191</v>
      </c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>
        <v>8</v>
      </c>
      <c r="AB15" s="222"/>
      <c r="AC15" s="222"/>
      <c r="AD15" s="222">
        <v>2800</v>
      </c>
      <c r="AE15" s="222"/>
      <c r="AF15" s="222"/>
      <c r="AG15" s="63"/>
      <c r="AH15" s="63"/>
      <c r="AI15" s="63"/>
      <c r="AJ15" s="62">
        <v>383</v>
      </c>
      <c r="AL15" s="38"/>
      <c r="AM15" s="38"/>
      <c r="AN15" s="38"/>
      <c r="AO15" s="38"/>
      <c r="AP15" s="38"/>
      <c r="AQ15" s="38"/>
      <c r="AR15" s="38"/>
      <c r="AS15" s="38"/>
    </row>
    <row r="16" spans="1:45" ht="15.95" customHeight="1" x14ac:dyDescent="0.25">
      <c r="A16" s="222"/>
      <c r="B16" s="222"/>
      <c r="C16" s="222"/>
      <c r="D16" s="222"/>
      <c r="E16" s="222"/>
      <c r="F16" s="222"/>
      <c r="G16" s="222"/>
      <c r="H16" s="222"/>
      <c r="I16" s="222" t="s">
        <v>147</v>
      </c>
      <c r="J16" s="222"/>
      <c r="K16" s="222"/>
      <c r="L16" s="218" t="s">
        <v>145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7">
        <v>8</v>
      </c>
      <c r="AB16" s="217"/>
      <c r="AC16" s="217"/>
      <c r="AD16" s="222">
        <v>2800</v>
      </c>
      <c r="AE16" s="222"/>
      <c r="AF16" s="222"/>
      <c r="AG16" s="221">
        <v>775</v>
      </c>
      <c r="AH16" s="221"/>
      <c r="AI16" s="221"/>
      <c r="AJ16" s="220">
        <v>289</v>
      </c>
      <c r="AL16" s="38"/>
      <c r="AM16" s="38"/>
      <c r="AN16" s="38"/>
      <c r="AO16" s="38"/>
      <c r="AP16" s="38"/>
      <c r="AQ16" s="38"/>
      <c r="AR16" s="38"/>
      <c r="AS16" s="38"/>
    </row>
    <row r="17" spans="1:45" x14ac:dyDescent="0.25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7"/>
      <c r="AB17" s="217"/>
      <c r="AC17" s="217"/>
      <c r="AD17" s="222"/>
      <c r="AE17" s="222"/>
      <c r="AF17" s="222"/>
      <c r="AG17" s="221">
        <v>807</v>
      </c>
      <c r="AH17" s="221"/>
      <c r="AI17" s="221"/>
      <c r="AJ17" s="220"/>
      <c r="AL17" s="38"/>
      <c r="AM17" s="38"/>
      <c r="AN17" s="38"/>
      <c r="AO17" s="38"/>
      <c r="AP17" s="38"/>
      <c r="AQ17" s="38"/>
      <c r="AR17" s="38"/>
      <c r="AS17" s="38"/>
    </row>
    <row r="18" spans="1:45" x14ac:dyDescent="0.25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7"/>
      <c r="AB18" s="217"/>
      <c r="AC18" s="217"/>
      <c r="AD18" s="222"/>
      <c r="AE18" s="222"/>
      <c r="AF18" s="222"/>
      <c r="AG18" s="221">
        <v>840</v>
      </c>
      <c r="AH18" s="221"/>
      <c r="AI18" s="221"/>
      <c r="AJ18" s="220"/>
      <c r="AL18" s="38"/>
      <c r="AM18" s="38"/>
      <c r="AN18" s="38"/>
      <c r="AO18" s="38"/>
      <c r="AP18" s="38"/>
      <c r="AQ18" s="38"/>
      <c r="AR18" s="38"/>
      <c r="AS18" s="38"/>
    </row>
    <row r="19" spans="1:45" x14ac:dyDescent="0.25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7"/>
      <c r="AB19" s="217"/>
      <c r="AC19" s="217"/>
      <c r="AD19" s="222"/>
      <c r="AE19" s="222"/>
      <c r="AF19" s="222"/>
      <c r="AG19" s="221">
        <v>872</v>
      </c>
      <c r="AH19" s="221"/>
      <c r="AI19" s="221"/>
      <c r="AJ19" s="220"/>
      <c r="AL19" s="38"/>
      <c r="AM19" s="38"/>
      <c r="AN19" s="38"/>
      <c r="AO19" s="38"/>
      <c r="AP19" s="38"/>
      <c r="AQ19" s="38"/>
      <c r="AR19" s="38"/>
      <c r="AS19" s="38"/>
    </row>
    <row r="20" spans="1:45" x14ac:dyDescent="0.25">
      <c r="A20" s="222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7"/>
      <c r="AB20" s="217"/>
      <c r="AC20" s="217"/>
      <c r="AD20" s="222"/>
      <c r="AE20" s="222"/>
      <c r="AF20" s="222"/>
      <c r="AG20" s="221">
        <v>904</v>
      </c>
      <c r="AH20" s="221"/>
      <c r="AI20" s="221"/>
      <c r="AJ20" s="220"/>
      <c r="AL20" s="38"/>
      <c r="AM20" s="38"/>
      <c r="AN20" s="38"/>
      <c r="AO20" s="38"/>
      <c r="AP20" s="38"/>
      <c r="AQ20" s="38"/>
      <c r="AR20" s="38"/>
      <c r="AS20" s="38"/>
    </row>
    <row r="21" spans="1:45" ht="0.75" customHeight="1" x14ac:dyDescent="0.25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7"/>
      <c r="AB21" s="217"/>
      <c r="AC21" s="217"/>
      <c r="AD21" s="222"/>
      <c r="AE21" s="222"/>
      <c r="AF21" s="222"/>
      <c r="AG21" s="221">
        <v>936</v>
      </c>
      <c r="AH21" s="221"/>
      <c r="AI21" s="221"/>
      <c r="AJ21" s="220"/>
      <c r="AL21" s="38"/>
      <c r="AM21" s="38"/>
      <c r="AN21" s="38"/>
      <c r="AO21" s="38"/>
      <c r="AP21" s="38"/>
      <c r="AQ21" s="38"/>
      <c r="AR21" s="38"/>
      <c r="AS21" s="38"/>
    </row>
    <row r="22" spans="1:45" ht="15" hidden="1" customHeight="1" x14ac:dyDescent="0.25">
      <c r="A22" s="222"/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7"/>
      <c r="AB22" s="217"/>
      <c r="AC22" s="217"/>
      <c r="AD22" s="222"/>
      <c r="AE22" s="222"/>
      <c r="AF22" s="222"/>
      <c r="AG22" s="221">
        <v>969</v>
      </c>
      <c r="AH22" s="221"/>
      <c r="AI22" s="221"/>
      <c r="AJ22" s="220"/>
      <c r="AL22" s="38"/>
      <c r="AM22" s="38"/>
      <c r="AN22" s="38"/>
      <c r="AO22" s="38"/>
      <c r="AP22" s="38"/>
      <c r="AQ22" s="38"/>
      <c r="AR22" s="38"/>
      <c r="AS22" s="38"/>
    </row>
    <row r="23" spans="1:45" ht="2.25" hidden="1" customHeight="1" x14ac:dyDescent="0.25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7"/>
      <c r="AB23" s="217"/>
      <c r="AC23" s="217"/>
      <c r="AD23" s="222"/>
      <c r="AE23" s="222"/>
      <c r="AF23" s="222"/>
      <c r="AG23" s="221"/>
      <c r="AH23" s="221"/>
      <c r="AI23" s="221"/>
      <c r="AJ23" s="220"/>
      <c r="AL23" s="38"/>
      <c r="AM23" s="38"/>
      <c r="AN23" s="38"/>
      <c r="AO23" s="38"/>
      <c r="AP23" s="38"/>
      <c r="AQ23" s="38"/>
      <c r="AR23" s="38"/>
      <c r="AS23" s="38"/>
    </row>
    <row r="24" spans="1:45" ht="18" customHeight="1" x14ac:dyDescent="0.25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 t="s">
        <v>191</v>
      </c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>
        <v>8</v>
      </c>
      <c r="AB24" s="222"/>
      <c r="AC24" s="222"/>
      <c r="AD24" s="222">
        <v>2800</v>
      </c>
      <c r="AE24" s="222"/>
      <c r="AF24" s="222"/>
      <c r="AG24" s="63"/>
      <c r="AH24" s="63"/>
      <c r="AI24" s="63"/>
      <c r="AJ24" s="62">
        <v>417</v>
      </c>
      <c r="AL24" s="38"/>
      <c r="AM24" s="38"/>
      <c r="AN24" s="38"/>
      <c r="AO24" s="38"/>
      <c r="AP24" s="38"/>
      <c r="AQ24" s="38"/>
      <c r="AR24" s="38"/>
      <c r="AS24" s="38"/>
    </row>
    <row r="25" spans="1:45" ht="15" customHeight="1" x14ac:dyDescent="0.25">
      <c r="A25" s="222"/>
      <c r="B25" s="222"/>
      <c r="C25" s="222"/>
      <c r="D25" s="222"/>
      <c r="E25" s="222"/>
      <c r="F25" s="222"/>
      <c r="G25" s="222"/>
      <c r="H25" s="222"/>
      <c r="I25" s="222" t="s">
        <v>148</v>
      </c>
      <c r="J25" s="222"/>
      <c r="K25" s="222"/>
      <c r="L25" s="218" t="s">
        <v>145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7">
        <v>8</v>
      </c>
      <c r="AB25" s="217"/>
      <c r="AC25" s="217"/>
      <c r="AD25" s="222">
        <v>2800</v>
      </c>
      <c r="AE25" s="222"/>
      <c r="AF25" s="222"/>
      <c r="AG25" s="221">
        <v>775</v>
      </c>
      <c r="AH25" s="221"/>
      <c r="AI25" s="221"/>
      <c r="AJ25" s="220">
        <v>259</v>
      </c>
    </row>
    <row r="26" spans="1:45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7"/>
      <c r="AB26" s="217"/>
      <c r="AC26" s="217"/>
      <c r="AD26" s="222"/>
      <c r="AE26" s="222"/>
      <c r="AF26" s="222"/>
      <c r="AG26" s="221">
        <v>807</v>
      </c>
      <c r="AH26" s="221"/>
      <c r="AI26" s="221"/>
      <c r="AJ26" s="220"/>
    </row>
    <row r="27" spans="1:45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7"/>
      <c r="AB27" s="217"/>
      <c r="AC27" s="217"/>
      <c r="AD27" s="222"/>
      <c r="AE27" s="222"/>
      <c r="AF27" s="222"/>
      <c r="AG27" s="221">
        <v>840</v>
      </c>
      <c r="AH27" s="221"/>
      <c r="AI27" s="221"/>
      <c r="AJ27" s="220"/>
    </row>
    <row r="28" spans="1:45" x14ac:dyDescent="0.25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7"/>
      <c r="AB28" s="217"/>
      <c r="AC28" s="217"/>
      <c r="AD28" s="222"/>
      <c r="AE28" s="222"/>
      <c r="AF28" s="222"/>
      <c r="AG28" s="221">
        <v>872</v>
      </c>
      <c r="AH28" s="221"/>
      <c r="AI28" s="221"/>
      <c r="AJ28" s="220"/>
    </row>
    <row r="29" spans="1:45" x14ac:dyDescent="0.25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7"/>
      <c r="AB29" s="217"/>
      <c r="AC29" s="217"/>
      <c r="AD29" s="222"/>
      <c r="AE29" s="222"/>
      <c r="AF29" s="222"/>
      <c r="AG29" s="221">
        <v>904</v>
      </c>
      <c r="AH29" s="221"/>
      <c r="AI29" s="221"/>
      <c r="AJ29" s="220"/>
    </row>
    <row r="30" spans="1:45" ht="4.5" customHeight="1" x14ac:dyDescent="0.25">
      <c r="A30" s="222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7"/>
      <c r="AB30" s="217"/>
      <c r="AC30" s="217"/>
      <c r="AD30" s="222"/>
      <c r="AE30" s="222"/>
      <c r="AF30" s="222"/>
      <c r="AG30" s="221">
        <v>936</v>
      </c>
      <c r="AH30" s="221"/>
      <c r="AI30" s="221"/>
      <c r="AJ30" s="220"/>
    </row>
    <row r="31" spans="1:45" ht="15" hidden="1" customHeight="1" x14ac:dyDescent="0.25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7"/>
      <c r="AB31" s="217"/>
      <c r="AC31" s="217"/>
      <c r="AD31" s="222"/>
      <c r="AE31" s="222"/>
      <c r="AF31" s="222"/>
      <c r="AG31" s="221">
        <v>969</v>
      </c>
      <c r="AH31" s="221"/>
      <c r="AI31" s="221"/>
      <c r="AJ31" s="220"/>
    </row>
    <row r="32" spans="1:45" ht="0.75" hidden="1" customHeight="1" x14ac:dyDescent="0.25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7"/>
      <c r="AB32" s="217"/>
      <c r="AC32" s="217"/>
      <c r="AD32" s="222"/>
      <c r="AE32" s="222"/>
      <c r="AF32" s="222"/>
      <c r="AG32" s="221"/>
      <c r="AH32" s="221"/>
      <c r="AI32" s="221"/>
      <c r="AJ32" s="220"/>
    </row>
    <row r="33" spans="1:36" x14ac:dyDescent="0.25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 t="s">
        <v>191</v>
      </c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>
        <v>8</v>
      </c>
      <c r="AB33" s="222"/>
      <c r="AC33" s="222"/>
      <c r="AD33" s="222">
        <v>2800</v>
      </c>
      <c r="AE33" s="222"/>
      <c r="AF33" s="222"/>
      <c r="AG33" s="63"/>
      <c r="AH33" s="63"/>
      <c r="AI33" s="63"/>
      <c r="AJ33" s="62">
        <v>391</v>
      </c>
    </row>
    <row r="34" spans="1:36" ht="15" customHeight="1" x14ac:dyDescent="0.25">
      <c r="A34" s="222"/>
      <c r="B34" s="222"/>
      <c r="C34" s="222"/>
      <c r="D34" s="222"/>
      <c r="E34" s="222"/>
      <c r="F34" s="222"/>
      <c r="G34" s="222"/>
      <c r="H34" s="222"/>
      <c r="I34" s="222" t="s">
        <v>149</v>
      </c>
      <c r="J34" s="222"/>
      <c r="K34" s="222"/>
      <c r="L34" s="218" t="s">
        <v>145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7">
        <v>8</v>
      </c>
      <c r="AB34" s="217"/>
      <c r="AC34" s="217"/>
      <c r="AD34" s="222">
        <v>2800</v>
      </c>
      <c r="AE34" s="222"/>
      <c r="AF34" s="222"/>
      <c r="AG34" s="221">
        <v>775</v>
      </c>
      <c r="AH34" s="221"/>
      <c r="AI34" s="221"/>
      <c r="AJ34" s="220">
        <v>294</v>
      </c>
    </row>
    <row r="35" spans="1:36" x14ac:dyDescent="0.25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7"/>
      <c r="AB35" s="217"/>
      <c r="AC35" s="217"/>
      <c r="AD35" s="222"/>
      <c r="AE35" s="222"/>
      <c r="AF35" s="222"/>
      <c r="AG35" s="221">
        <v>807</v>
      </c>
      <c r="AH35" s="221"/>
      <c r="AI35" s="221"/>
      <c r="AJ35" s="220"/>
    </row>
    <row r="36" spans="1:36" x14ac:dyDescent="0.25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7"/>
      <c r="AB36" s="217"/>
      <c r="AC36" s="217"/>
      <c r="AD36" s="222"/>
      <c r="AE36" s="222"/>
      <c r="AF36" s="222"/>
      <c r="AG36" s="221">
        <v>840</v>
      </c>
      <c r="AH36" s="221"/>
      <c r="AI36" s="221"/>
      <c r="AJ36" s="220"/>
    </row>
    <row r="37" spans="1:36" x14ac:dyDescent="0.25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7"/>
      <c r="AB37" s="217"/>
      <c r="AC37" s="217"/>
      <c r="AD37" s="222"/>
      <c r="AE37" s="222"/>
      <c r="AF37" s="222"/>
      <c r="AG37" s="221">
        <v>872</v>
      </c>
      <c r="AH37" s="221"/>
      <c r="AI37" s="221"/>
      <c r="AJ37" s="220"/>
    </row>
    <row r="38" spans="1:36" x14ac:dyDescent="0.25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7"/>
      <c r="AB38" s="217"/>
      <c r="AC38" s="217"/>
      <c r="AD38" s="222"/>
      <c r="AE38" s="222"/>
      <c r="AF38" s="222"/>
      <c r="AG38" s="221">
        <v>904</v>
      </c>
      <c r="AH38" s="221"/>
      <c r="AI38" s="221"/>
      <c r="AJ38" s="220"/>
    </row>
    <row r="39" spans="1:36" ht="14.25" customHeight="1" x14ac:dyDescent="0.25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7"/>
      <c r="AB39" s="217"/>
      <c r="AC39" s="217"/>
      <c r="AD39" s="222"/>
      <c r="AE39" s="222"/>
      <c r="AF39" s="222"/>
      <c r="AG39" s="221">
        <v>936</v>
      </c>
      <c r="AH39" s="221"/>
      <c r="AI39" s="221"/>
      <c r="AJ39" s="220"/>
    </row>
    <row r="40" spans="1:36" ht="12" hidden="1" customHeight="1" x14ac:dyDescent="0.25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7"/>
      <c r="AB40" s="217"/>
      <c r="AC40" s="217"/>
      <c r="AD40" s="222"/>
      <c r="AE40" s="222"/>
      <c r="AF40" s="222"/>
      <c r="AG40" s="221">
        <v>969</v>
      </c>
      <c r="AH40" s="221"/>
      <c r="AI40" s="221"/>
      <c r="AJ40" s="220"/>
    </row>
    <row r="41" spans="1:36" ht="15" hidden="1" customHeight="1" x14ac:dyDescent="0.25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7"/>
      <c r="AB41" s="217"/>
      <c r="AC41" s="217"/>
      <c r="AD41" s="222"/>
      <c r="AE41" s="222"/>
      <c r="AF41" s="222"/>
      <c r="AG41" s="221"/>
      <c r="AH41" s="221"/>
      <c r="AI41" s="221"/>
      <c r="AJ41" s="220"/>
    </row>
    <row r="42" spans="1:36" x14ac:dyDescent="0.25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 t="s">
        <v>191</v>
      </c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>
        <v>8</v>
      </c>
      <c r="AB42" s="222"/>
      <c r="AC42" s="222"/>
      <c r="AD42" s="222">
        <v>2800</v>
      </c>
      <c r="AE42" s="222"/>
      <c r="AF42" s="222"/>
      <c r="AG42" s="63"/>
      <c r="AH42" s="63"/>
      <c r="AI42" s="63"/>
      <c r="AJ42" s="62">
        <v>428</v>
      </c>
    </row>
    <row r="43" spans="1:36" ht="15" customHeight="1" x14ac:dyDescent="0.25">
      <c r="A43" s="221"/>
      <c r="B43" s="221"/>
      <c r="C43" s="221"/>
      <c r="D43" s="221"/>
      <c r="E43" s="221"/>
      <c r="F43" s="221"/>
      <c r="G43" s="221"/>
      <c r="H43" s="221"/>
      <c r="I43" s="222" t="s">
        <v>150</v>
      </c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 t="s">
        <v>151</v>
      </c>
      <c r="AB43" s="217"/>
      <c r="AC43" s="217"/>
      <c r="AD43" s="224" t="s">
        <v>152</v>
      </c>
      <c r="AE43" s="224"/>
      <c r="AF43" s="224"/>
      <c r="AG43" s="221">
        <v>775</v>
      </c>
      <c r="AH43" s="221"/>
      <c r="AI43" s="221"/>
      <c r="AJ43" s="220">
        <v>15</v>
      </c>
    </row>
    <row r="44" spans="1:36" ht="10.5" customHeight="1" x14ac:dyDescent="0.25">
      <c r="A44" s="221"/>
      <c r="B44" s="221"/>
      <c r="C44" s="221"/>
      <c r="D44" s="221"/>
      <c r="E44" s="221"/>
      <c r="F44" s="221"/>
      <c r="G44" s="221"/>
      <c r="H44" s="221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17"/>
      <c r="AB44" s="217"/>
      <c r="AC44" s="217"/>
      <c r="AD44" s="224"/>
      <c r="AE44" s="224"/>
      <c r="AF44" s="224"/>
      <c r="AG44" s="221">
        <v>807</v>
      </c>
      <c r="AH44" s="221"/>
      <c r="AI44" s="221"/>
      <c r="AJ44" s="220"/>
    </row>
    <row r="45" spans="1:36" ht="4.5" hidden="1" customHeight="1" x14ac:dyDescent="0.25">
      <c r="A45" s="221"/>
      <c r="B45" s="221"/>
      <c r="C45" s="221"/>
      <c r="D45" s="221"/>
      <c r="E45" s="221"/>
      <c r="F45" s="221"/>
      <c r="G45" s="221"/>
      <c r="H45" s="221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17"/>
      <c r="AB45" s="217"/>
      <c r="AC45" s="217"/>
      <c r="AD45" s="224"/>
      <c r="AE45" s="224"/>
      <c r="AF45" s="224"/>
      <c r="AG45" s="221">
        <v>840</v>
      </c>
      <c r="AH45" s="221"/>
      <c r="AI45" s="221"/>
      <c r="AJ45" s="220"/>
    </row>
    <row r="46" spans="1:36" x14ac:dyDescent="0.25">
      <c r="A46" s="221"/>
      <c r="B46" s="221"/>
      <c r="C46" s="221"/>
      <c r="D46" s="221"/>
      <c r="E46" s="221"/>
      <c r="F46" s="221"/>
      <c r="G46" s="221"/>
      <c r="H46" s="221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17"/>
      <c r="AB46" s="217"/>
      <c r="AC46" s="217"/>
      <c r="AD46" s="224" t="s">
        <v>153</v>
      </c>
      <c r="AE46" s="224"/>
      <c r="AF46" s="224"/>
      <c r="AG46" s="221">
        <v>872</v>
      </c>
      <c r="AH46" s="221"/>
      <c r="AI46" s="221"/>
      <c r="AJ46" s="220">
        <v>12</v>
      </c>
    </row>
    <row r="47" spans="1:36" x14ac:dyDescent="0.25">
      <c r="A47" s="221"/>
      <c r="B47" s="221"/>
      <c r="C47" s="221"/>
      <c r="D47" s="221"/>
      <c r="E47" s="221"/>
      <c r="F47" s="221"/>
      <c r="G47" s="221"/>
      <c r="H47" s="221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17"/>
      <c r="AB47" s="217"/>
      <c r="AC47" s="217"/>
      <c r="AD47" s="224"/>
      <c r="AE47" s="224"/>
      <c r="AF47" s="224"/>
      <c r="AG47" s="221">
        <v>904</v>
      </c>
      <c r="AH47" s="221"/>
      <c r="AI47" s="221"/>
      <c r="AJ47" s="220"/>
    </row>
    <row r="48" spans="1:36" x14ac:dyDescent="0.25">
      <c r="A48" s="221"/>
      <c r="B48" s="221"/>
      <c r="C48" s="221"/>
      <c r="D48" s="221"/>
      <c r="E48" s="221"/>
      <c r="F48" s="221"/>
      <c r="G48" s="221"/>
      <c r="H48" s="221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17"/>
      <c r="AB48" s="217"/>
      <c r="AC48" s="217"/>
      <c r="AD48" s="224" t="s">
        <v>154</v>
      </c>
      <c r="AE48" s="224"/>
      <c r="AF48" s="224"/>
      <c r="AG48" s="221">
        <v>936</v>
      </c>
      <c r="AH48" s="221"/>
      <c r="AI48" s="221"/>
      <c r="AJ48" s="220">
        <v>10</v>
      </c>
    </row>
    <row r="49" spans="1:36" ht="12" customHeight="1" x14ac:dyDescent="0.25">
      <c r="A49" s="221"/>
      <c r="B49" s="221"/>
      <c r="C49" s="221"/>
      <c r="D49" s="221"/>
      <c r="E49" s="221"/>
      <c r="F49" s="221"/>
      <c r="G49" s="221"/>
      <c r="H49" s="221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17"/>
      <c r="AB49" s="217"/>
      <c r="AC49" s="217"/>
      <c r="AD49" s="224"/>
      <c r="AE49" s="224"/>
      <c r="AF49" s="224"/>
      <c r="AG49" s="221">
        <v>969</v>
      </c>
      <c r="AH49" s="221"/>
      <c r="AI49" s="221"/>
      <c r="AJ49" s="220"/>
    </row>
    <row r="50" spans="1:36" ht="1.7" customHeight="1" x14ac:dyDescent="0.25">
      <c r="A50" s="221"/>
      <c r="B50" s="221"/>
      <c r="C50" s="221"/>
      <c r="D50" s="221"/>
      <c r="E50" s="221"/>
      <c r="F50" s="221"/>
      <c r="G50" s="221"/>
      <c r="H50" s="221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17"/>
      <c r="AB50" s="217"/>
      <c r="AC50" s="217"/>
      <c r="AD50" s="224"/>
      <c r="AE50" s="224"/>
      <c r="AF50" s="224"/>
      <c r="AG50" s="221"/>
      <c r="AH50" s="221"/>
      <c r="AI50" s="221"/>
      <c r="AJ50" s="220"/>
    </row>
    <row r="51" spans="1:36" ht="15" customHeight="1" x14ac:dyDescent="0.25">
      <c r="A51" s="221"/>
      <c r="B51" s="221"/>
      <c r="C51" s="221"/>
      <c r="D51" s="221"/>
      <c r="E51" s="221"/>
      <c r="F51" s="221"/>
      <c r="G51" s="221"/>
      <c r="H51" s="221"/>
      <c r="I51" s="222" t="s">
        <v>155</v>
      </c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 t="s">
        <v>151</v>
      </c>
      <c r="AB51" s="217"/>
      <c r="AC51" s="217"/>
      <c r="AD51" s="224" t="s">
        <v>152</v>
      </c>
      <c r="AE51" s="224"/>
      <c r="AF51" s="224"/>
      <c r="AG51" s="221">
        <v>775</v>
      </c>
      <c r="AH51" s="221"/>
      <c r="AI51" s="221"/>
      <c r="AJ51" s="220">
        <v>15</v>
      </c>
    </row>
    <row r="52" spans="1:36" ht="9.75" customHeight="1" x14ac:dyDescent="0.25">
      <c r="A52" s="221"/>
      <c r="B52" s="221"/>
      <c r="C52" s="221"/>
      <c r="D52" s="221"/>
      <c r="E52" s="221"/>
      <c r="F52" s="221"/>
      <c r="G52" s="221"/>
      <c r="H52" s="221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17"/>
      <c r="AB52" s="217"/>
      <c r="AC52" s="217"/>
      <c r="AD52" s="224"/>
      <c r="AE52" s="224"/>
      <c r="AF52" s="224"/>
      <c r="AG52" s="221">
        <v>807</v>
      </c>
      <c r="AH52" s="221"/>
      <c r="AI52" s="221"/>
      <c r="AJ52" s="220"/>
    </row>
    <row r="53" spans="1:36" ht="5.45" hidden="1" customHeight="1" x14ac:dyDescent="0.25">
      <c r="A53" s="221"/>
      <c r="B53" s="221"/>
      <c r="C53" s="221"/>
      <c r="D53" s="221"/>
      <c r="E53" s="221"/>
      <c r="F53" s="221"/>
      <c r="G53" s="221"/>
      <c r="H53" s="221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17"/>
      <c r="AB53" s="217"/>
      <c r="AC53" s="217"/>
      <c r="AD53" s="224"/>
      <c r="AE53" s="224"/>
      <c r="AF53" s="224"/>
      <c r="AG53" s="221">
        <v>840</v>
      </c>
      <c r="AH53" s="221"/>
      <c r="AI53" s="221"/>
      <c r="AJ53" s="220"/>
    </row>
    <row r="54" spans="1:36" x14ac:dyDescent="0.25">
      <c r="A54" s="221"/>
      <c r="B54" s="221"/>
      <c r="C54" s="221"/>
      <c r="D54" s="221"/>
      <c r="E54" s="221"/>
      <c r="F54" s="221"/>
      <c r="G54" s="221"/>
      <c r="H54" s="221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17"/>
      <c r="AB54" s="217"/>
      <c r="AC54" s="217"/>
      <c r="AD54" s="224" t="s">
        <v>153</v>
      </c>
      <c r="AE54" s="224"/>
      <c r="AF54" s="224"/>
      <c r="AG54" s="221">
        <v>872</v>
      </c>
      <c r="AH54" s="221"/>
      <c r="AI54" s="221"/>
      <c r="AJ54" s="220">
        <v>12</v>
      </c>
    </row>
    <row r="55" spans="1:36" x14ac:dyDescent="0.25">
      <c r="A55" s="221"/>
      <c r="B55" s="221"/>
      <c r="C55" s="221"/>
      <c r="D55" s="221"/>
      <c r="E55" s="221"/>
      <c r="F55" s="221"/>
      <c r="G55" s="221"/>
      <c r="H55" s="221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17"/>
      <c r="AB55" s="217"/>
      <c r="AC55" s="217"/>
      <c r="AD55" s="224"/>
      <c r="AE55" s="224"/>
      <c r="AF55" s="224"/>
      <c r="AG55" s="221">
        <v>904</v>
      </c>
      <c r="AH55" s="221"/>
      <c r="AI55" s="221"/>
      <c r="AJ55" s="220"/>
    </row>
    <row r="56" spans="1:36" x14ac:dyDescent="0.25">
      <c r="A56" s="221"/>
      <c r="B56" s="221"/>
      <c r="C56" s="221"/>
      <c r="D56" s="221"/>
      <c r="E56" s="221"/>
      <c r="F56" s="221"/>
      <c r="G56" s="221"/>
      <c r="H56" s="221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17"/>
      <c r="AB56" s="217"/>
      <c r="AC56" s="217"/>
      <c r="AD56" s="224" t="s">
        <v>154</v>
      </c>
      <c r="AE56" s="224"/>
      <c r="AF56" s="224"/>
      <c r="AG56" s="221">
        <v>936</v>
      </c>
      <c r="AH56" s="221"/>
      <c r="AI56" s="221"/>
      <c r="AJ56" s="220">
        <v>10</v>
      </c>
    </row>
    <row r="57" spans="1:36" ht="11.25" customHeight="1" x14ac:dyDescent="0.25">
      <c r="A57" s="221"/>
      <c r="B57" s="221"/>
      <c r="C57" s="221"/>
      <c r="D57" s="221"/>
      <c r="E57" s="221"/>
      <c r="F57" s="221"/>
      <c r="G57" s="221"/>
      <c r="H57" s="221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17"/>
      <c r="AB57" s="217"/>
      <c r="AC57" s="217"/>
      <c r="AD57" s="224"/>
      <c r="AE57" s="224"/>
      <c r="AF57" s="224"/>
      <c r="AG57" s="221">
        <v>969</v>
      </c>
      <c r="AH57" s="221"/>
      <c r="AI57" s="221"/>
      <c r="AJ57" s="220"/>
    </row>
    <row r="58" spans="1:36" ht="6" hidden="1" customHeight="1" thickBot="1" x14ac:dyDescent="0.3">
      <c r="A58" s="221"/>
      <c r="B58" s="221"/>
      <c r="C58" s="221"/>
      <c r="D58" s="221"/>
      <c r="E58" s="221"/>
      <c r="F58" s="221"/>
      <c r="G58" s="221"/>
      <c r="H58" s="221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17"/>
      <c r="AB58" s="217"/>
      <c r="AC58" s="217"/>
      <c r="AD58" s="224"/>
      <c r="AE58" s="224"/>
      <c r="AF58" s="224"/>
      <c r="AG58" s="221"/>
      <c r="AH58" s="221"/>
      <c r="AI58" s="221"/>
      <c r="AJ58" s="220"/>
    </row>
    <row r="59" spans="1:36" ht="10.15" customHeight="1" x14ac:dyDescent="0.25">
      <c r="A59" s="221"/>
      <c r="B59" s="221"/>
      <c r="C59" s="221"/>
      <c r="D59" s="221"/>
      <c r="E59" s="221"/>
      <c r="F59" s="221"/>
      <c r="G59" s="221"/>
      <c r="H59" s="221"/>
      <c r="I59" s="222" t="s">
        <v>208</v>
      </c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 t="s">
        <v>152</v>
      </c>
      <c r="AB59" s="222"/>
      <c r="AC59" s="222"/>
      <c r="AD59" s="222"/>
      <c r="AE59" s="222"/>
      <c r="AF59" s="222"/>
      <c r="AG59" s="221">
        <v>775</v>
      </c>
      <c r="AH59" s="221"/>
      <c r="AI59" s="221"/>
      <c r="AJ59" s="220" t="s">
        <v>186</v>
      </c>
    </row>
    <row r="60" spans="1:36" ht="10.15" customHeight="1" x14ac:dyDescent="0.25">
      <c r="A60" s="221"/>
      <c r="B60" s="221"/>
      <c r="C60" s="221"/>
      <c r="D60" s="221"/>
      <c r="E60" s="221"/>
      <c r="F60" s="221"/>
      <c r="G60" s="221"/>
      <c r="H60" s="221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1">
        <v>807</v>
      </c>
      <c r="AH60" s="221"/>
      <c r="AI60" s="221"/>
      <c r="AJ60" s="220"/>
    </row>
    <row r="61" spans="1:36" ht="10.15" customHeight="1" x14ac:dyDescent="0.25">
      <c r="A61" s="221"/>
      <c r="B61" s="221"/>
      <c r="C61" s="221"/>
      <c r="D61" s="221"/>
      <c r="E61" s="221"/>
      <c r="F61" s="221"/>
      <c r="G61" s="221"/>
      <c r="H61" s="221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1">
        <v>840</v>
      </c>
      <c r="AH61" s="221"/>
      <c r="AI61" s="221"/>
      <c r="AJ61" s="220"/>
    </row>
    <row r="62" spans="1:36" ht="10.15" customHeight="1" x14ac:dyDescent="0.25">
      <c r="A62" s="221"/>
      <c r="B62" s="221"/>
      <c r="C62" s="221"/>
      <c r="D62" s="221"/>
      <c r="E62" s="221"/>
      <c r="F62" s="221"/>
      <c r="G62" s="221"/>
      <c r="H62" s="221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1">
        <v>872</v>
      </c>
      <c r="AH62" s="221"/>
      <c r="AI62" s="221"/>
      <c r="AJ62" s="220"/>
    </row>
    <row r="63" spans="1:36" ht="10.15" customHeight="1" x14ac:dyDescent="0.25">
      <c r="A63" s="221"/>
      <c r="B63" s="221"/>
      <c r="C63" s="221"/>
      <c r="D63" s="221"/>
      <c r="E63" s="221"/>
      <c r="F63" s="221"/>
      <c r="G63" s="221"/>
      <c r="H63" s="221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 t="s">
        <v>156</v>
      </c>
      <c r="AB63" s="222"/>
      <c r="AC63" s="222"/>
      <c r="AD63" s="222"/>
      <c r="AE63" s="222"/>
      <c r="AF63" s="222"/>
      <c r="AG63" s="221">
        <v>904</v>
      </c>
      <c r="AH63" s="221"/>
      <c r="AI63" s="221"/>
      <c r="AJ63" s="220" t="s">
        <v>187</v>
      </c>
    </row>
    <row r="64" spans="1:36" ht="10.15" customHeight="1" x14ac:dyDescent="0.25">
      <c r="A64" s="221"/>
      <c r="B64" s="221"/>
      <c r="C64" s="221"/>
      <c r="D64" s="221"/>
      <c r="E64" s="221"/>
      <c r="F64" s="221"/>
      <c r="G64" s="221"/>
      <c r="H64" s="221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1">
        <v>936</v>
      </c>
      <c r="AH64" s="221"/>
      <c r="AI64" s="221"/>
      <c r="AJ64" s="220"/>
    </row>
    <row r="65" spans="1:36" ht="2.25" customHeight="1" x14ac:dyDescent="0.25">
      <c r="A65" s="221"/>
      <c r="B65" s="221"/>
      <c r="C65" s="221"/>
      <c r="D65" s="221"/>
      <c r="E65" s="221"/>
      <c r="F65" s="221"/>
      <c r="G65" s="221"/>
      <c r="H65" s="221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1">
        <v>969</v>
      </c>
      <c r="AH65" s="221"/>
      <c r="AI65" s="221"/>
      <c r="AJ65" s="220"/>
    </row>
    <row r="66" spans="1:36" ht="4.5" hidden="1" customHeight="1" x14ac:dyDescent="0.25">
      <c r="A66" s="221"/>
      <c r="B66" s="221"/>
      <c r="C66" s="221"/>
      <c r="D66" s="221"/>
      <c r="E66" s="221"/>
      <c r="F66" s="221"/>
      <c r="G66" s="221"/>
      <c r="H66" s="221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1"/>
      <c r="AH66" s="221"/>
      <c r="AI66" s="221"/>
      <c r="AJ66" s="220"/>
    </row>
    <row r="67" spans="1:36" s="39" customFormat="1" ht="24" customHeight="1" x14ac:dyDescent="0.25">
      <c r="A67" s="225" t="s">
        <v>157</v>
      </c>
      <c r="B67" s="225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 t="s">
        <v>209</v>
      </c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</row>
    <row r="68" spans="1:36" s="39" customFormat="1" x14ac:dyDescent="0.25">
      <c r="A68" s="225"/>
      <c r="B68" s="225"/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</row>
    <row r="69" spans="1:36" s="39" customFormat="1" x14ac:dyDescent="0.25">
      <c r="A69" s="225"/>
      <c r="B69" s="225"/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</row>
    <row r="70" spans="1:36" s="39" customFormat="1" x14ac:dyDescent="0.25">
      <c r="A70" s="225"/>
      <c r="B70" s="225"/>
      <c r="C70" s="225"/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</row>
    <row r="71" spans="1:36" s="39" customFormat="1" ht="21.75" customHeight="1" x14ac:dyDescent="0.25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</row>
    <row r="72" spans="1:36" s="39" customFormat="1" ht="15" hidden="1" customHeight="1" x14ac:dyDescent="0.25">
      <c r="A72" s="47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9"/>
    </row>
  </sheetData>
  <mergeCells count="127">
    <mergeCell ref="AD42:AF42"/>
    <mergeCell ref="A67:M71"/>
    <mergeCell ref="N67:AJ71"/>
    <mergeCell ref="I6:K15"/>
    <mergeCell ref="L15:Z15"/>
    <mergeCell ref="AA15:AC15"/>
    <mergeCell ref="AD15:AF15"/>
    <mergeCell ref="A6:H15"/>
    <mergeCell ref="A16:H24"/>
    <mergeCell ref="L24:Z24"/>
    <mergeCell ref="AA24:AC24"/>
    <mergeCell ref="AD24:AF24"/>
    <mergeCell ref="I16:K24"/>
    <mergeCell ref="A25:H33"/>
    <mergeCell ref="I25:K33"/>
    <mergeCell ref="L33:Z33"/>
    <mergeCell ref="AA33:AC33"/>
    <mergeCell ref="AD33:AF33"/>
    <mergeCell ref="A34:H42"/>
    <mergeCell ref="I34:K42"/>
    <mergeCell ref="L42:Z42"/>
    <mergeCell ref="AA42:AC42"/>
    <mergeCell ref="AJ63:AJ66"/>
    <mergeCell ref="AG64:AI64"/>
    <mergeCell ref="AG65:AI65"/>
    <mergeCell ref="AG66:AI66"/>
    <mergeCell ref="A59:H66"/>
    <mergeCell ref="I59:Z66"/>
    <mergeCell ref="AA59:AF62"/>
    <mergeCell ref="AG59:AI59"/>
    <mergeCell ref="AJ59:AJ62"/>
    <mergeCell ref="AG60:AI60"/>
    <mergeCell ref="AG61:AI61"/>
    <mergeCell ref="AG62:AI62"/>
    <mergeCell ref="AA63:AF66"/>
    <mergeCell ref="AG63:AI63"/>
    <mergeCell ref="AJ54:AJ55"/>
    <mergeCell ref="AG55:AI55"/>
    <mergeCell ref="AD56:AF58"/>
    <mergeCell ref="AG56:AI56"/>
    <mergeCell ref="AJ56:AJ58"/>
    <mergeCell ref="AG57:AI57"/>
    <mergeCell ref="AG58:AI58"/>
    <mergeCell ref="A51:H58"/>
    <mergeCell ref="I51:Z58"/>
    <mergeCell ref="AA51:AC58"/>
    <mergeCell ref="AD51:AF53"/>
    <mergeCell ref="AG51:AI51"/>
    <mergeCell ref="AJ51:AJ53"/>
    <mergeCell ref="AG52:AI52"/>
    <mergeCell ref="AG53:AI53"/>
    <mergeCell ref="AD54:AF55"/>
    <mergeCell ref="AG54:AI54"/>
    <mergeCell ref="AJ46:AJ47"/>
    <mergeCell ref="AG47:AI47"/>
    <mergeCell ref="AD48:AF50"/>
    <mergeCell ref="AG48:AI48"/>
    <mergeCell ref="AJ48:AJ50"/>
    <mergeCell ref="AG49:AI49"/>
    <mergeCell ref="AG50:AI50"/>
    <mergeCell ref="A43:H50"/>
    <mergeCell ref="I43:Z50"/>
    <mergeCell ref="AA43:AC50"/>
    <mergeCell ref="AD43:AF45"/>
    <mergeCell ref="AG43:AI43"/>
    <mergeCell ref="AJ43:AJ45"/>
    <mergeCell ref="AG44:AI44"/>
    <mergeCell ref="AG45:AI45"/>
    <mergeCell ref="AD46:AF47"/>
    <mergeCell ref="AG46:AI46"/>
    <mergeCell ref="AJ34:AJ41"/>
    <mergeCell ref="AG35:AI35"/>
    <mergeCell ref="AG36:AI36"/>
    <mergeCell ref="AG37:AI37"/>
    <mergeCell ref="AG38:AI38"/>
    <mergeCell ref="AG39:AI39"/>
    <mergeCell ref="AG40:AI40"/>
    <mergeCell ref="AG41:AI41"/>
    <mergeCell ref="L34:Z41"/>
    <mergeCell ref="AA34:AC41"/>
    <mergeCell ref="AD34:AF41"/>
    <mergeCell ref="AG34:AI34"/>
    <mergeCell ref="AJ25:AJ32"/>
    <mergeCell ref="AG26:AI26"/>
    <mergeCell ref="AG27:AI27"/>
    <mergeCell ref="AG28:AI28"/>
    <mergeCell ref="AG29:AI29"/>
    <mergeCell ref="AG30:AI30"/>
    <mergeCell ref="AG31:AI31"/>
    <mergeCell ref="AG32:AI32"/>
    <mergeCell ref="L25:Z32"/>
    <mergeCell ref="AA25:AC32"/>
    <mergeCell ref="AD25:AF32"/>
    <mergeCell ref="AG25:AI25"/>
    <mergeCell ref="AJ16:AJ23"/>
    <mergeCell ref="AG17:AI17"/>
    <mergeCell ref="AG18:AI18"/>
    <mergeCell ref="AG19:AI19"/>
    <mergeCell ref="AG20:AI20"/>
    <mergeCell ref="AG21:AI21"/>
    <mergeCell ref="AG22:AI22"/>
    <mergeCell ref="AG23:AI23"/>
    <mergeCell ref="L16:Z23"/>
    <mergeCell ref="AA16:AC23"/>
    <mergeCell ref="AD16:AF23"/>
    <mergeCell ref="AG16:AI16"/>
    <mergeCell ref="A1:AJ1"/>
    <mergeCell ref="A3:H5"/>
    <mergeCell ref="I3:K5"/>
    <mergeCell ref="L3:Z5"/>
    <mergeCell ref="AA3:AC5"/>
    <mergeCell ref="AD3:AF5"/>
    <mergeCell ref="AG3:AI5"/>
    <mergeCell ref="AJ3:AJ5"/>
    <mergeCell ref="AJ6:AJ14"/>
    <mergeCell ref="AG7:AI7"/>
    <mergeCell ref="AG8:AI8"/>
    <mergeCell ref="AG9:AI9"/>
    <mergeCell ref="AG10:AI10"/>
    <mergeCell ref="AG11:AI11"/>
    <mergeCell ref="AG12:AI12"/>
    <mergeCell ref="AG14:AI14"/>
    <mergeCell ref="L6:Z14"/>
    <mergeCell ref="AA6:AC14"/>
    <mergeCell ref="AD6:AF14"/>
    <mergeCell ref="AG6:AI6"/>
    <mergeCell ref="A2:AJ2"/>
  </mergeCells>
  <pageMargins left="0.23622047244094491" right="0.23622047244094491" top="0" bottom="0.74803149606299213" header="0" footer="0.31496062992125984"/>
  <pageSetup paperSize="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Q134"/>
  <sheetViews>
    <sheetView tabSelected="1" view="pageBreakPreview" zoomScaleNormal="100" zoomScaleSheetLayoutView="100" workbookViewId="0">
      <selection activeCell="O5" sqref="O5:Q7"/>
    </sheetView>
  </sheetViews>
  <sheetFormatPr defaultRowHeight="12.75" x14ac:dyDescent="0.2"/>
  <cols>
    <col min="1" max="5" width="4.7109375" customWidth="1"/>
    <col min="6" max="6" width="11" customWidth="1"/>
    <col min="7" max="7" width="25" customWidth="1"/>
    <col min="8" max="9" width="4.7109375" customWidth="1"/>
    <col min="10" max="10" width="5.7109375" customWidth="1"/>
    <col min="11" max="11" width="7.42578125" customWidth="1"/>
    <col min="12" max="12" width="5.42578125" customWidth="1"/>
    <col min="13" max="14" width="4.28515625" customWidth="1"/>
    <col min="15" max="16" width="10" style="65" customWidth="1"/>
    <col min="17" max="17" width="11.28515625" style="65" customWidth="1"/>
  </cols>
  <sheetData>
    <row r="1" spans="1:17" ht="18.75" x14ac:dyDescent="0.3">
      <c r="A1" s="247" t="s">
        <v>160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</row>
    <row r="2" spans="1:17" ht="62.25" customHeight="1" x14ac:dyDescent="0.2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17" ht="43.5" customHeight="1" x14ac:dyDescent="0.2">
      <c r="A3" s="160" t="s">
        <v>227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88">
        <v>70</v>
      </c>
    </row>
    <row r="4" spans="1:17" ht="15.75" x14ac:dyDescent="0.25">
      <c r="A4" s="256" t="s">
        <v>162</v>
      </c>
      <c r="B4" s="257"/>
      <c r="C4" s="257"/>
      <c r="D4" s="257"/>
      <c r="E4" s="257"/>
      <c r="F4" s="257"/>
      <c r="G4" s="258"/>
      <c r="H4" s="253" t="s">
        <v>161</v>
      </c>
      <c r="I4" s="254"/>
      <c r="J4" s="254"/>
      <c r="K4" s="254"/>
      <c r="L4" s="254"/>
      <c r="M4" s="254"/>
      <c r="N4" s="254"/>
      <c r="O4" s="254"/>
      <c r="P4" s="254"/>
      <c r="Q4" s="255"/>
    </row>
    <row r="5" spans="1:17" ht="12.75" customHeight="1" x14ac:dyDescent="0.2">
      <c r="A5" s="249" t="s">
        <v>52</v>
      </c>
      <c r="B5" s="249"/>
      <c r="C5" s="249"/>
      <c r="D5" s="249"/>
      <c r="E5" s="249"/>
      <c r="F5" s="249"/>
      <c r="G5" s="249"/>
      <c r="H5" s="249"/>
      <c r="I5" s="250" t="s">
        <v>169</v>
      </c>
      <c r="J5" s="151"/>
      <c r="K5" s="151"/>
      <c r="L5" s="251" t="s">
        <v>158</v>
      </c>
      <c r="M5" s="151"/>
      <c r="N5" s="151"/>
      <c r="O5" s="278" t="s">
        <v>228</v>
      </c>
      <c r="P5" s="252"/>
      <c r="Q5" s="252"/>
    </row>
    <row r="6" spans="1:17" ht="12.75" customHeight="1" x14ac:dyDescent="0.2">
      <c r="A6" s="249"/>
      <c r="B6" s="249"/>
      <c r="C6" s="249"/>
      <c r="D6" s="249"/>
      <c r="E6" s="249"/>
      <c r="F6" s="249"/>
      <c r="G6" s="249"/>
      <c r="H6" s="249"/>
      <c r="I6" s="151"/>
      <c r="J6" s="151"/>
      <c r="K6" s="151"/>
      <c r="L6" s="151"/>
      <c r="M6" s="151"/>
      <c r="N6" s="151"/>
      <c r="O6" s="252"/>
      <c r="P6" s="252"/>
      <c r="Q6" s="252"/>
    </row>
    <row r="7" spans="1:17" ht="13.5" customHeight="1" x14ac:dyDescent="0.2">
      <c r="A7" s="249"/>
      <c r="B7" s="249"/>
      <c r="C7" s="249"/>
      <c r="D7" s="249"/>
      <c r="E7" s="249"/>
      <c r="F7" s="249"/>
      <c r="G7" s="249"/>
      <c r="H7" s="249"/>
      <c r="I7" s="151"/>
      <c r="J7" s="151"/>
      <c r="K7" s="151"/>
      <c r="L7" s="151"/>
      <c r="M7" s="151"/>
      <c r="N7" s="151"/>
      <c r="O7" s="252"/>
      <c r="P7" s="252"/>
      <c r="Q7" s="252"/>
    </row>
    <row r="8" spans="1:17" ht="15" customHeight="1" x14ac:dyDescent="0.2">
      <c r="A8" s="249"/>
      <c r="B8" s="249"/>
      <c r="C8" s="249"/>
      <c r="D8" s="249"/>
      <c r="E8" s="249"/>
      <c r="F8" s="249"/>
      <c r="G8" s="249"/>
      <c r="H8" s="249"/>
      <c r="I8" s="250" t="s">
        <v>170</v>
      </c>
      <c r="J8" s="251"/>
      <c r="K8" s="251"/>
      <c r="L8" s="268" t="s">
        <v>159</v>
      </c>
      <c r="M8" s="268"/>
      <c r="N8" s="268"/>
      <c r="O8" s="259">
        <f>800*Q3</f>
        <v>56000</v>
      </c>
      <c r="P8" s="260"/>
      <c r="Q8" s="261"/>
    </row>
    <row r="9" spans="1:17" ht="12.75" customHeight="1" x14ac:dyDescent="0.2">
      <c r="A9" s="249"/>
      <c r="B9" s="249"/>
      <c r="C9" s="249"/>
      <c r="D9" s="249"/>
      <c r="E9" s="249"/>
      <c r="F9" s="249"/>
      <c r="G9" s="249"/>
      <c r="H9" s="249"/>
      <c r="I9" s="251"/>
      <c r="J9" s="251"/>
      <c r="K9" s="251"/>
      <c r="L9" s="268"/>
      <c r="M9" s="268"/>
      <c r="N9" s="268"/>
      <c r="O9" s="262"/>
      <c r="P9" s="263"/>
      <c r="Q9" s="264"/>
    </row>
    <row r="10" spans="1:17" ht="5.45" customHeight="1" x14ac:dyDescent="0.2">
      <c r="A10" s="249"/>
      <c r="B10" s="249"/>
      <c r="C10" s="249"/>
      <c r="D10" s="249"/>
      <c r="E10" s="249"/>
      <c r="F10" s="249"/>
      <c r="G10" s="249"/>
      <c r="H10" s="249"/>
      <c r="I10" s="251"/>
      <c r="J10" s="251"/>
      <c r="K10" s="251"/>
      <c r="L10" s="268"/>
      <c r="M10" s="268"/>
      <c r="N10" s="268"/>
      <c r="O10" s="262"/>
      <c r="P10" s="263"/>
      <c r="Q10" s="264"/>
    </row>
    <row r="11" spans="1:17" ht="9.1999999999999993" hidden="1" customHeight="1" x14ac:dyDescent="0.2">
      <c r="A11" s="249"/>
      <c r="B11" s="249"/>
      <c r="C11" s="249"/>
      <c r="D11" s="249"/>
      <c r="E11" s="249"/>
      <c r="F11" s="249"/>
      <c r="G11" s="249"/>
      <c r="H11" s="249"/>
      <c r="I11" s="251"/>
      <c r="J11" s="251"/>
      <c r="K11" s="251"/>
      <c r="L11" s="268"/>
      <c r="M11" s="268"/>
      <c r="N11" s="268"/>
      <c r="O11" s="262"/>
      <c r="P11" s="263"/>
      <c r="Q11" s="264"/>
    </row>
    <row r="12" spans="1:17" ht="12.75" hidden="1" customHeight="1" x14ac:dyDescent="0.2">
      <c r="A12" s="249"/>
      <c r="B12" s="249"/>
      <c r="C12" s="249"/>
      <c r="D12" s="249"/>
      <c r="E12" s="249"/>
      <c r="F12" s="249"/>
      <c r="G12" s="249"/>
      <c r="H12" s="249"/>
      <c r="I12" s="251"/>
      <c r="J12" s="251"/>
      <c r="K12" s="251"/>
      <c r="L12" s="268"/>
      <c r="M12" s="268"/>
      <c r="N12" s="268"/>
      <c r="O12" s="262"/>
      <c r="P12" s="263"/>
      <c r="Q12" s="264"/>
    </row>
    <row r="13" spans="1:17" ht="12.75" hidden="1" customHeight="1" x14ac:dyDescent="0.2">
      <c r="A13" s="249"/>
      <c r="B13" s="249"/>
      <c r="C13" s="249"/>
      <c r="D13" s="249"/>
      <c r="E13" s="249"/>
      <c r="F13" s="249"/>
      <c r="G13" s="249"/>
      <c r="H13" s="249"/>
      <c r="I13" s="251"/>
      <c r="J13" s="251"/>
      <c r="K13" s="251"/>
      <c r="L13" s="268"/>
      <c r="M13" s="268"/>
      <c r="N13" s="268"/>
      <c r="O13" s="262"/>
      <c r="P13" s="263"/>
      <c r="Q13" s="264"/>
    </row>
    <row r="14" spans="1:17" ht="12.75" hidden="1" customHeight="1" x14ac:dyDescent="0.2">
      <c r="A14" s="249"/>
      <c r="B14" s="249"/>
      <c r="C14" s="249"/>
      <c r="D14" s="249"/>
      <c r="E14" s="249"/>
      <c r="F14" s="249"/>
      <c r="G14" s="249"/>
      <c r="H14" s="249"/>
      <c r="I14" s="251"/>
      <c r="J14" s="251"/>
      <c r="K14" s="251"/>
      <c r="L14" s="268"/>
      <c r="M14" s="268"/>
      <c r="N14" s="268"/>
      <c r="O14" s="262"/>
      <c r="P14" s="263"/>
      <c r="Q14" s="264"/>
    </row>
    <row r="15" spans="1:17" ht="12.75" hidden="1" customHeight="1" x14ac:dyDescent="0.2">
      <c r="A15" s="249"/>
      <c r="B15" s="249"/>
      <c r="C15" s="249"/>
      <c r="D15" s="249"/>
      <c r="E15" s="249"/>
      <c r="F15" s="249"/>
      <c r="G15" s="249"/>
      <c r="H15" s="249"/>
      <c r="I15" s="251"/>
      <c r="J15" s="251"/>
      <c r="K15" s="251"/>
      <c r="L15" s="268"/>
      <c r="M15" s="268"/>
      <c r="N15" s="268"/>
      <c r="O15" s="265"/>
      <c r="P15" s="266"/>
      <c r="Q15" s="267"/>
    </row>
    <row r="16" spans="1:17" ht="15" customHeight="1" x14ac:dyDescent="0.2">
      <c r="A16" s="249"/>
      <c r="B16" s="249"/>
      <c r="C16" s="249"/>
      <c r="D16" s="249"/>
      <c r="E16" s="249"/>
      <c r="F16" s="249"/>
      <c r="G16" s="249"/>
      <c r="H16" s="249"/>
      <c r="I16" s="250" t="s">
        <v>171</v>
      </c>
      <c r="J16" s="251"/>
      <c r="K16" s="251"/>
      <c r="L16" s="251" t="s">
        <v>159</v>
      </c>
      <c r="M16" s="251"/>
      <c r="N16" s="251"/>
      <c r="O16" s="259">
        <f>800*Q3</f>
        <v>56000</v>
      </c>
      <c r="P16" s="260"/>
      <c r="Q16" s="261"/>
    </row>
    <row r="17" spans="1:17" ht="10.5" customHeight="1" x14ac:dyDescent="0.2">
      <c r="A17" s="249"/>
      <c r="B17" s="249"/>
      <c r="C17" s="249"/>
      <c r="D17" s="249"/>
      <c r="E17" s="249"/>
      <c r="F17" s="249"/>
      <c r="G17" s="249"/>
      <c r="H17" s="249"/>
      <c r="I17" s="251"/>
      <c r="J17" s="251"/>
      <c r="K17" s="251"/>
      <c r="L17" s="251"/>
      <c r="M17" s="251"/>
      <c r="N17" s="251"/>
      <c r="O17" s="262"/>
      <c r="P17" s="263"/>
      <c r="Q17" s="264"/>
    </row>
    <row r="18" spans="1:17" ht="3.75" hidden="1" customHeight="1" x14ac:dyDescent="0.2">
      <c r="A18" s="249"/>
      <c r="B18" s="249"/>
      <c r="C18" s="249"/>
      <c r="D18" s="249"/>
      <c r="E18" s="249"/>
      <c r="F18" s="249"/>
      <c r="G18" s="249"/>
      <c r="H18" s="249"/>
      <c r="I18" s="251"/>
      <c r="J18" s="251"/>
      <c r="K18" s="251"/>
      <c r="L18" s="251"/>
      <c r="M18" s="251"/>
      <c r="N18" s="251"/>
      <c r="O18" s="262"/>
      <c r="P18" s="263"/>
      <c r="Q18" s="264"/>
    </row>
    <row r="19" spans="1:17" ht="10.5" hidden="1" customHeight="1" x14ac:dyDescent="0.2">
      <c r="A19" s="249"/>
      <c r="B19" s="249"/>
      <c r="C19" s="249"/>
      <c r="D19" s="249"/>
      <c r="E19" s="249"/>
      <c r="F19" s="249"/>
      <c r="G19" s="249"/>
      <c r="H19" s="249"/>
      <c r="I19" s="251"/>
      <c r="J19" s="251"/>
      <c r="K19" s="251"/>
      <c r="L19" s="251"/>
      <c r="M19" s="251"/>
      <c r="N19" s="251"/>
      <c r="O19" s="262"/>
      <c r="P19" s="263"/>
      <c r="Q19" s="264"/>
    </row>
    <row r="20" spans="1:17" ht="12.75" hidden="1" customHeight="1" x14ac:dyDescent="0.2">
      <c r="A20" s="249"/>
      <c r="B20" s="249"/>
      <c r="C20" s="249"/>
      <c r="D20" s="249"/>
      <c r="E20" s="249"/>
      <c r="F20" s="249"/>
      <c r="G20" s="249"/>
      <c r="H20" s="249"/>
      <c r="I20" s="251"/>
      <c r="J20" s="251"/>
      <c r="K20" s="251"/>
      <c r="L20" s="251"/>
      <c r="M20" s="251"/>
      <c r="N20" s="251"/>
      <c r="O20" s="262"/>
      <c r="P20" s="263"/>
      <c r="Q20" s="264"/>
    </row>
    <row r="21" spans="1:17" ht="12.75" hidden="1" customHeight="1" x14ac:dyDescent="0.2">
      <c r="A21" s="249"/>
      <c r="B21" s="249"/>
      <c r="C21" s="249"/>
      <c r="D21" s="249"/>
      <c r="E21" s="249"/>
      <c r="F21" s="249"/>
      <c r="G21" s="249"/>
      <c r="H21" s="249"/>
      <c r="I21" s="251"/>
      <c r="J21" s="251"/>
      <c r="K21" s="251"/>
      <c r="L21" s="251"/>
      <c r="M21" s="251"/>
      <c r="N21" s="251"/>
      <c r="O21" s="262"/>
      <c r="P21" s="263"/>
      <c r="Q21" s="264"/>
    </row>
    <row r="22" spans="1:17" ht="12.75" hidden="1" customHeight="1" x14ac:dyDescent="0.2">
      <c r="A22" s="249"/>
      <c r="B22" s="249"/>
      <c r="C22" s="249"/>
      <c r="D22" s="249"/>
      <c r="E22" s="249"/>
      <c r="F22" s="249"/>
      <c r="G22" s="249"/>
      <c r="H22" s="249"/>
      <c r="I22" s="251"/>
      <c r="J22" s="251"/>
      <c r="K22" s="251"/>
      <c r="L22" s="251"/>
      <c r="M22" s="251"/>
      <c r="N22" s="251"/>
      <c r="O22" s="262"/>
      <c r="P22" s="263"/>
      <c r="Q22" s="264"/>
    </row>
    <row r="23" spans="1:17" ht="6" customHeight="1" x14ac:dyDescent="0.2">
      <c r="A23" s="249"/>
      <c r="B23" s="249"/>
      <c r="C23" s="249"/>
      <c r="D23" s="249"/>
      <c r="E23" s="249"/>
      <c r="F23" s="249"/>
      <c r="G23" s="249"/>
      <c r="H23" s="249"/>
      <c r="I23" s="251"/>
      <c r="J23" s="251"/>
      <c r="K23" s="251"/>
      <c r="L23" s="251"/>
      <c r="M23" s="251"/>
      <c r="N23" s="251"/>
      <c r="O23" s="265"/>
      <c r="P23" s="266"/>
      <c r="Q23" s="267"/>
    </row>
    <row r="24" spans="1:17" ht="15" customHeight="1" x14ac:dyDescent="0.2">
      <c r="A24" s="249"/>
      <c r="B24" s="249"/>
      <c r="C24" s="249"/>
      <c r="D24" s="249"/>
      <c r="E24" s="249"/>
      <c r="F24" s="249"/>
      <c r="G24" s="249"/>
      <c r="H24" s="249"/>
      <c r="I24" s="250" t="s">
        <v>172</v>
      </c>
      <c r="J24" s="251"/>
      <c r="K24" s="251"/>
      <c r="L24" s="251" t="s">
        <v>159</v>
      </c>
      <c r="M24" s="251"/>
      <c r="N24" s="251"/>
      <c r="O24" s="259">
        <f>800*Q3</f>
        <v>56000</v>
      </c>
      <c r="P24" s="260"/>
      <c r="Q24" s="261"/>
    </row>
    <row r="25" spans="1:17" ht="15" customHeight="1" x14ac:dyDescent="0.2">
      <c r="A25" s="249"/>
      <c r="B25" s="249"/>
      <c r="C25" s="249"/>
      <c r="D25" s="249"/>
      <c r="E25" s="249"/>
      <c r="F25" s="249"/>
      <c r="G25" s="249"/>
      <c r="H25" s="249"/>
      <c r="I25" s="251"/>
      <c r="J25" s="251"/>
      <c r="K25" s="251"/>
      <c r="L25" s="251"/>
      <c r="M25" s="251"/>
      <c r="N25" s="251"/>
      <c r="O25" s="262"/>
      <c r="P25" s="263"/>
      <c r="Q25" s="264"/>
    </row>
    <row r="26" spans="1:17" ht="4.5" customHeight="1" x14ac:dyDescent="0.2">
      <c r="A26" s="249"/>
      <c r="B26" s="249"/>
      <c r="C26" s="249"/>
      <c r="D26" s="249"/>
      <c r="E26" s="249"/>
      <c r="F26" s="249"/>
      <c r="G26" s="249"/>
      <c r="H26" s="249"/>
      <c r="I26" s="251"/>
      <c r="J26" s="251"/>
      <c r="K26" s="251"/>
      <c r="L26" s="251"/>
      <c r="M26" s="251"/>
      <c r="N26" s="251"/>
      <c r="O26" s="262"/>
      <c r="P26" s="263"/>
      <c r="Q26" s="264"/>
    </row>
    <row r="27" spans="1:17" ht="15" hidden="1" customHeight="1" x14ac:dyDescent="0.2">
      <c r="A27" s="249"/>
      <c r="B27" s="249"/>
      <c r="C27" s="249"/>
      <c r="D27" s="249"/>
      <c r="E27" s="249"/>
      <c r="F27" s="249"/>
      <c r="G27" s="249"/>
      <c r="H27" s="249"/>
      <c r="I27" s="251"/>
      <c r="J27" s="251"/>
      <c r="K27" s="251"/>
      <c r="L27" s="251"/>
      <c r="M27" s="251"/>
      <c r="N27" s="251"/>
      <c r="O27" s="262"/>
      <c r="P27" s="263"/>
      <c r="Q27" s="264"/>
    </row>
    <row r="28" spans="1:17" ht="15" hidden="1" customHeight="1" x14ac:dyDescent="0.2">
      <c r="A28" s="249"/>
      <c r="B28" s="249"/>
      <c r="C28" s="249"/>
      <c r="D28" s="249"/>
      <c r="E28" s="249"/>
      <c r="F28" s="249"/>
      <c r="G28" s="249"/>
      <c r="H28" s="249"/>
      <c r="I28" s="251"/>
      <c r="J28" s="251"/>
      <c r="K28" s="251"/>
      <c r="L28" s="251"/>
      <c r="M28" s="251"/>
      <c r="N28" s="251"/>
      <c r="O28" s="262"/>
      <c r="P28" s="263"/>
      <c r="Q28" s="264"/>
    </row>
    <row r="29" spans="1:17" ht="15" hidden="1" customHeight="1" x14ac:dyDescent="0.2">
      <c r="A29" s="249"/>
      <c r="B29" s="249"/>
      <c r="C29" s="249"/>
      <c r="D29" s="249"/>
      <c r="E29" s="249"/>
      <c r="F29" s="249"/>
      <c r="G29" s="249"/>
      <c r="H29" s="249"/>
      <c r="I29" s="251"/>
      <c r="J29" s="251"/>
      <c r="K29" s="251"/>
      <c r="L29" s="251"/>
      <c r="M29" s="251"/>
      <c r="N29" s="251"/>
      <c r="O29" s="262"/>
      <c r="P29" s="263"/>
      <c r="Q29" s="264"/>
    </row>
    <row r="30" spans="1:17" ht="15" hidden="1" customHeight="1" x14ac:dyDescent="0.2">
      <c r="A30" s="249"/>
      <c r="B30" s="249"/>
      <c r="C30" s="249"/>
      <c r="D30" s="249"/>
      <c r="E30" s="249"/>
      <c r="F30" s="249"/>
      <c r="G30" s="249"/>
      <c r="H30" s="249"/>
      <c r="I30" s="251"/>
      <c r="J30" s="251"/>
      <c r="K30" s="251"/>
      <c r="L30" s="251"/>
      <c r="M30" s="251"/>
      <c r="N30" s="251"/>
      <c r="O30" s="262"/>
      <c r="P30" s="263"/>
      <c r="Q30" s="264"/>
    </row>
    <row r="31" spans="1:17" ht="15.95" hidden="1" customHeight="1" x14ac:dyDescent="0.2">
      <c r="A31" s="249"/>
      <c r="B31" s="249"/>
      <c r="C31" s="249"/>
      <c r="D31" s="249"/>
      <c r="E31" s="249"/>
      <c r="F31" s="249"/>
      <c r="G31" s="249"/>
      <c r="H31" s="249"/>
      <c r="I31" s="251"/>
      <c r="J31" s="251"/>
      <c r="K31" s="251"/>
      <c r="L31" s="251"/>
      <c r="M31" s="251"/>
      <c r="N31" s="251"/>
      <c r="O31" s="265"/>
      <c r="P31" s="266"/>
      <c r="Q31" s="267"/>
    </row>
    <row r="32" spans="1:17" ht="15" customHeight="1" x14ac:dyDescent="0.2">
      <c r="A32" s="249"/>
      <c r="B32" s="249"/>
      <c r="C32" s="249"/>
      <c r="D32" s="249"/>
      <c r="E32" s="249"/>
      <c r="F32" s="249"/>
      <c r="G32" s="249"/>
      <c r="H32" s="249"/>
      <c r="I32" s="250" t="s">
        <v>173</v>
      </c>
      <c r="J32" s="251"/>
      <c r="K32" s="251"/>
      <c r="L32" s="251" t="s">
        <v>159</v>
      </c>
      <c r="M32" s="251"/>
      <c r="N32" s="251"/>
      <c r="O32" s="259">
        <f>837.5*Q3</f>
        <v>58625</v>
      </c>
      <c r="P32" s="260"/>
      <c r="Q32" s="261"/>
    </row>
    <row r="33" spans="1:17" ht="15" customHeight="1" x14ac:dyDescent="0.2">
      <c r="A33" s="249"/>
      <c r="B33" s="249"/>
      <c r="C33" s="249"/>
      <c r="D33" s="249"/>
      <c r="E33" s="249"/>
      <c r="F33" s="249"/>
      <c r="G33" s="249"/>
      <c r="H33" s="249"/>
      <c r="I33" s="251"/>
      <c r="J33" s="251"/>
      <c r="K33" s="251"/>
      <c r="L33" s="251"/>
      <c r="M33" s="251"/>
      <c r="N33" s="251"/>
      <c r="O33" s="262"/>
      <c r="P33" s="263"/>
      <c r="Q33" s="264"/>
    </row>
    <row r="34" spans="1:17" ht="4.5" customHeight="1" x14ac:dyDescent="0.2">
      <c r="A34" s="249"/>
      <c r="B34" s="249"/>
      <c r="C34" s="249"/>
      <c r="D34" s="249"/>
      <c r="E34" s="249"/>
      <c r="F34" s="249"/>
      <c r="G34" s="249"/>
      <c r="H34" s="249"/>
      <c r="I34" s="251"/>
      <c r="J34" s="251"/>
      <c r="K34" s="251"/>
      <c r="L34" s="251"/>
      <c r="M34" s="251"/>
      <c r="N34" s="251"/>
      <c r="O34" s="262"/>
      <c r="P34" s="263"/>
      <c r="Q34" s="264"/>
    </row>
    <row r="35" spans="1:17" ht="15" hidden="1" customHeight="1" x14ac:dyDescent="0.2">
      <c r="A35" s="249"/>
      <c r="B35" s="249"/>
      <c r="C35" s="249"/>
      <c r="D35" s="249"/>
      <c r="E35" s="249"/>
      <c r="F35" s="249"/>
      <c r="G35" s="249"/>
      <c r="H35" s="249"/>
      <c r="I35" s="251"/>
      <c r="J35" s="251"/>
      <c r="K35" s="251"/>
      <c r="L35" s="251"/>
      <c r="M35" s="251"/>
      <c r="N35" s="251"/>
      <c r="O35" s="262"/>
      <c r="P35" s="263"/>
      <c r="Q35" s="264"/>
    </row>
    <row r="36" spans="1:17" ht="15" hidden="1" customHeight="1" x14ac:dyDescent="0.2">
      <c r="A36" s="249"/>
      <c r="B36" s="249"/>
      <c r="C36" s="249"/>
      <c r="D36" s="249"/>
      <c r="E36" s="249"/>
      <c r="F36" s="249"/>
      <c r="G36" s="249"/>
      <c r="H36" s="249"/>
      <c r="I36" s="251"/>
      <c r="J36" s="251"/>
      <c r="K36" s="251"/>
      <c r="L36" s="251"/>
      <c r="M36" s="251"/>
      <c r="N36" s="251"/>
      <c r="O36" s="262"/>
      <c r="P36" s="263"/>
      <c r="Q36" s="264"/>
    </row>
    <row r="37" spans="1:17" ht="15" hidden="1" customHeight="1" x14ac:dyDescent="0.2">
      <c r="A37" s="249"/>
      <c r="B37" s="249"/>
      <c r="C37" s="249"/>
      <c r="D37" s="249"/>
      <c r="E37" s="249"/>
      <c r="F37" s="249"/>
      <c r="G37" s="249"/>
      <c r="H37" s="249"/>
      <c r="I37" s="251"/>
      <c r="J37" s="251"/>
      <c r="K37" s="251"/>
      <c r="L37" s="251"/>
      <c r="M37" s="251"/>
      <c r="N37" s="251"/>
      <c r="O37" s="262"/>
      <c r="P37" s="263"/>
      <c r="Q37" s="264"/>
    </row>
    <row r="38" spans="1:17" ht="15.95" hidden="1" customHeight="1" x14ac:dyDescent="0.2">
      <c r="A38" s="249"/>
      <c r="B38" s="249"/>
      <c r="C38" s="249"/>
      <c r="D38" s="249"/>
      <c r="E38" s="249"/>
      <c r="F38" s="249"/>
      <c r="G38" s="249"/>
      <c r="H38" s="249"/>
      <c r="I38" s="251"/>
      <c r="J38" s="251"/>
      <c r="K38" s="251"/>
      <c r="L38" s="251"/>
      <c r="M38" s="251"/>
      <c r="N38" s="251"/>
      <c r="O38" s="265"/>
      <c r="P38" s="266"/>
      <c r="Q38" s="267"/>
    </row>
    <row r="39" spans="1:17" ht="15" customHeight="1" x14ac:dyDescent="0.2">
      <c r="A39" s="249"/>
      <c r="B39" s="249"/>
      <c r="C39" s="249"/>
      <c r="D39" s="249"/>
      <c r="E39" s="249"/>
      <c r="F39" s="249"/>
      <c r="G39" s="249"/>
      <c r="H39" s="249"/>
      <c r="I39" s="250" t="s">
        <v>174</v>
      </c>
      <c r="J39" s="251"/>
      <c r="K39" s="251"/>
      <c r="L39" s="251" t="s">
        <v>159</v>
      </c>
      <c r="M39" s="251"/>
      <c r="N39" s="251"/>
      <c r="O39" s="259">
        <f>837.5*Q3</f>
        <v>58625</v>
      </c>
      <c r="P39" s="260"/>
      <c r="Q39" s="261"/>
    </row>
    <row r="40" spans="1:17" ht="12.75" customHeight="1" x14ac:dyDescent="0.2">
      <c r="A40" s="249"/>
      <c r="B40" s="249"/>
      <c r="C40" s="249"/>
      <c r="D40" s="249"/>
      <c r="E40" s="249"/>
      <c r="F40" s="249"/>
      <c r="G40" s="249"/>
      <c r="H40" s="249"/>
      <c r="I40" s="251"/>
      <c r="J40" s="251"/>
      <c r="K40" s="251"/>
      <c r="L40" s="251"/>
      <c r="M40" s="251"/>
      <c r="N40" s="251"/>
      <c r="O40" s="262"/>
      <c r="P40" s="263"/>
      <c r="Q40" s="264"/>
    </row>
    <row r="41" spans="1:17" ht="5.45" customHeight="1" x14ac:dyDescent="0.2">
      <c r="A41" s="249"/>
      <c r="B41" s="249"/>
      <c r="C41" s="249"/>
      <c r="D41" s="249"/>
      <c r="E41" s="249"/>
      <c r="F41" s="249"/>
      <c r="G41" s="249"/>
      <c r="H41" s="249"/>
      <c r="I41" s="251"/>
      <c r="J41" s="251"/>
      <c r="K41" s="251"/>
      <c r="L41" s="251"/>
      <c r="M41" s="251"/>
      <c r="N41" s="251"/>
      <c r="O41" s="262"/>
      <c r="P41" s="263"/>
      <c r="Q41" s="264"/>
    </row>
    <row r="42" spans="1:17" ht="1.7" hidden="1" customHeight="1" x14ac:dyDescent="0.2">
      <c r="A42" s="249"/>
      <c r="B42" s="249"/>
      <c r="C42" s="249"/>
      <c r="D42" s="249"/>
      <c r="E42" s="249"/>
      <c r="F42" s="249"/>
      <c r="G42" s="249"/>
      <c r="H42" s="249"/>
      <c r="I42" s="251"/>
      <c r="J42" s="251"/>
      <c r="K42" s="251"/>
      <c r="L42" s="251"/>
      <c r="M42" s="251"/>
      <c r="N42" s="251"/>
      <c r="O42" s="262"/>
      <c r="P42" s="263"/>
      <c r="Q42" s="264"/>
    </row>
    <row r="43" spans="1:17" ht="12.75" hidden="1" customHeight="1" x14ac:dyDescent="0.2">
      <c r="A43" s="249"/>
      <c r="B43" s="249"/>
      <c r="C43" s="249"/>
      <c r="D43" s="249"/>
      <c r="E43" s="249"/>
      <c r="F43" s="249"/>
      <c r="G43" s="249"/>
      <c r="H43" s="249"/>
      <c r="I43" s="251"/>
      <c r="J43" s="251"/>
      <c r="K43" s="251"/>
      <c r="L43" s="251"/>
      <c r="M43" s="251"/>
      <c r="N43" s="251"/>
      <c r="O43" s="262"/>
      <c r="P43" s="263"/>
      <c r="Q43" s="264"/>
    </row>
    <row r="44" spans="1:17" ht="4.5" hidden="1" customHeight="1" x14ac:dyDescent="0.2">
      <c r="A44" s="249"/>
      <c r="B44" s="249"/>
      <c r="C44" s="249"/>
      <c r="D44" s="249"/>
      <c r="E44" s="249"/>
      <c r="F44" s="249"/>
      <c r="G44" s="249"/>
      <c r="H44" s="249"/>
      <c r="I44" s="251"/>
      <c r="J44" s="251"/>
      <c r="K44" s="251"/>
      <c r="L44" s="251"/>
      <c r="M44" s="251"/>
      <c r="N44" s="251"/>
      <c r="O44" s="262"/>
      <c r="P44" s="263"/>
      <c r="Q44" s="264"/>
    </row>
    <row r="45" spans="1:17" ht="12.75" hidden="1" customHeight="1" x14ac:dyDescent="0.2">
      <c r="A45" s="249"/>
      <c r="B45" s="249"/>
      <c r="C45" s="249"/>
      <c r="D45" s="249"/>
      <c r="E45" s="249"/>
      <c r="F45" s="249"/>
      <c r="G45" s="249"/>
      <c r="H45" s="249"/>
      <c r="I45" s="251"/>
      <c r="J45" s="251"/>
      <c r="K45" s="251"/>
      <c r="L45" s="251"/>
      <c r="M45" s="251"/>
      <c r="N45" s="251"/>
      <c r="O45" s="262"/>
      <c r="P45" s="263"/>
      <c r="Q45" s="264"/>
    </row>
    <row r="46" spans="1:17" ht="12.75" hidden="1" customHeight="1" x14ac:dyDescent="0.2">
      <c r="A46" s="249"/>
      <c r="B46" s="249"/>
      <c r="C46" s="249"/>
      <c r="D46" s="249"/>
      <c r="E46" s="249"/>
      <c r="F46" s="249"/>
      <c r="G46" s="249"/>
      <c r="H46" s="249"/>
      <c r="I46" s="251"/>
      <c r="J46" s="251"/>
      <c r="K46" s="251"/>
      <c r="L46" s="251"/>
      <c r="M46" s="251"/>
      <c r="N46" s="251"/>
      <c r="O46" s="265"/>
      <c r="P46" s="266"/>
      <c r="Q46" s="267"/>
    </row>
    <row r="47" spans="1:17" ht="15" customHeight="1" x14ac:dyDescent="0.2">
      <c r="A47" s="249"/>
      <c r="B47" s="249"/>
      <c r="C47" s="249"/>
      <c r="D47" s="249"/>
      <c r="E47" s="249"/>
      <c r="F47" s="249"/>
      <c r="G47" s="249"/>
      <c r="H47" s="249"/>
      <c r="I47" s="250" t="s">
        <v>175</v>
      </c>
      <c r="J47" s="251"/>
      <c r="K47" s="251"/>
      <c r="L47" s="251" t="s">
        <v>159</v>
      </c>
      <c r="M47" s="251"/>
      <c r="N47" s="251"/>
      <c r="O47" s="259">
        <f>837.5*Q3</f>
        <v>58625</v>
      </c>
      <c r="P47" s="260"/>
      <c r="Q47" s="261"/>
    </row>
    <row r="48" spans="1:17" ht="19.7" customHeight="1" x14ac:dyDescent="0.2">
      <c r="A48" s="249"/>
      <c r="B48" s="249"/>
      <c r="C48" s="249"/>
      <c r="D48" s="249"/>
      <c r="E48" s="249"/>
      <c r="F48" s="249"/>
      <c r="G48" s="249"/>
      <c r="H48" s="249"/>
      <c r="I48" s="251"/>
      <c r="J48" s="251"/>
      <c r="K48" s="251"/>
      <c r="L48" s="251"/>
      <c r="M48" s="251"/>
      <c r="N48" s="251"/>
      <c r="O48" s="262"/>
      <c r="P48" s="263"/>
      <c r="Q48" s="264"/>
    </row>
    <row r="49" spans="1:17" ht="0.75" customHeight="1" x14ac:dyDescent="0.2">
      <c r="A49" s="249"/>
      <c r="B49" s="249"/>
      <c r="C49" s="249"/>
      <c r="D49" s="249"/>
      <c r="E49" s="249"/>
      <c r="F49" s="249"/>
      <c r="G49" s="249"/>
      <c r="H49" s="249"/>
      <c r="I49" s="251"/>
      <c r="J49" s="251"/>
      <c r="K49" s="251"/>
      <c r="L49" s="251"/>
      <c r="M49" s="251"/>
      <c r="N49" s="251"/>
      <c r="O49" s="262"/>
      <c r="P49" s="263"/>
      <c r="Q49" s="264"/>
    </row>
    <row r="50" spans="1:17" ht="12.75" hidden="1" customHeight="1" x14ac:dyDescent="0.2">
      <c r="A50" s="249"/>
      <c r="B50" s="249"/>
      <c r="C50" s="249"/>
      <c r="D50" s="249"/>
      <c r="E50" s="249"/>
      <c r="F50" s="249"/>
      <c r="G50" s="249"/>
      <c r="H50" s="249"/>
      <c r="I50" s="251"/>
      <c r="J50" s="251"/>
      <c r="K50" s="251"/>
      <c r="L50" s="251"/>
      <c r="M50" s="251"/>
      <c r="N50" s="251"/>
      <c r="O50" s="262"/>
      <c r="P50" s="263"/>
      <c r="Q50" s="264"/>
    </row>
    <row r="51" spans="1:17" ht="12.75" hidden="1" customHeight="1" x14ac:dyDescent="0.2">
      <c r="A51" s="249"/>
      <c r="B51" s="249"/>
      <c r="C51" s="249"/>
      <c r="D51" s="249"/>
      <c r="E51" s="249"/>
      <c r="F51" s="249"/>
      <c r="G51" s="249"/>
      <c r="H51" s="249"/>
      <c r="I51" s="251"/>
      <c r="J51" s="251"/>
      <c r="K51" s="251"/>
      <c r="L51" s="251"/>
      <c r="M51" s="251"/>
      <c r="N51" s="251"/>
      <c r="O51" s="262"/>
      <c r="P51" s="263"/>
      <c r="Q51" s="264"/>
    </row>
    <row r="52" spans="1:17" ht="12.75" hidden="1" customHeight="1" x14ac:dyDescent="0.2">
      <c r="A52" s="249"/>
      <c r="B52" s="249"/>
      <c r="C52" s="249"/>
      <c r="D52" s="249"/>
      <c r="E52" s="249"/>
      <c r="F52" s="249"/>
      <c r="G52" s="249"/>
      <c r="H52" s="249"/>
      <c r="I52" s="251"/>
      <c r="J52" s="251"/>
      <c r="K52" s="251"/>
      <c r="L52" s="251"/>
      <c r="M52" s="251"/>
      <c r="N52" s="251"/>
      <c r="O52" s="262"/>
      <c r="P52" s="263"/>
      <c r="Q52" s="264"/>
    </row>
    <row r="53" spans="1:17" ht="18" hidden="1" customHeight="1" x14ac:dyDescent="0.2">
      <c r="A53" s="249"/>
      <c r="B53" s="249"/>
      <c r="C53" s="249"/>
      <c r="D53" s="249"/>
      <c r="E53" s="249"/>
      <c r="F53" s="249"/>
      <c r="G53" s="249"/>
      <c r="H53" s="249"/>
      <c r="I53" s="251"/>
      <c r="J53" s="251"/>
      <c r="K53" s="251"/>
      <c r="L53" s="251"/>
      <c r="M53" s="251"/>
      <c r="N53" s="251"/>
      <c r="O53" s="265"/>
      <c r="P53" s="266"/>
      <c r="Q53" s="267"/>
    </row>
    <row r="54" spans="1:17" ht="15" customHeight="1" x14ac:dyDescent="0.2">
      <c r="A54" s="249"/>
      <c r="B54" s="249"/>
      <c r="C54" s="249"/>
      <c r="D54" s="249"/>
      <c r="E54" s="249"/>
      <c r="F54" s="249"/>
      <c r="G54" s="249"/>
      <c r="H54" s="249"/>
      <c r="I54" s="250" t="s">
        <v>176</v>
      </c>
      <c r="J54" s="251"/>
      <c r="K54" s="251"/>
      <c r="L54" s="251" t="s">
        <v>159</v>
      </c>
      <c r="M54" s="251"/>
      <c r="N54" s="251"/>
      <c r="O54" s="259">
        <f>875*Q3</f>
        <v>61250</v>
      </c>
      <c r="P54" s="260"/>
      <c r="Q54" s="261"/>
    </row>
    <row r="55" spans="1:17" ht="12.75" customHeight="1" x14ac:dyDescent="0.2">
      <c r="A55" s="249"/>
      <c r="B55" s="249"/>
      <c r="C55" s="249"/>
      <c r="D55" s="249"/>
      <c r="E55" s="249"/>
      <c r="F55" s="249"/>
      <c r="G55" s="249"/>
      <c r="H55" s="249"/>
      <c r="I55" s="251"/>
      <c r="J55" s="251"/>
      <c r="K55" s="251"/>
      <c r="L55" s="251"/>
      <c r="M55" s="251"/>
      <c r="N55" s="251"/>
      <c r="O55" s="262"/>
      <c r="P55" s="263"/>
      <c r="Q55" s="264"/>
    </row>
    <row r="56" spans="1:17" ht="4.5" customHeight="1" x14ac:dyDescent="0.2">
      <c r="A56" s="249"/>
      <c r="B56" s="249"/>
      <c r="C56" s="249"/>
      <c r="D56" s="249"/>
      <c r="E56" s="249"/>
      <c r="F56" s="249"/>
      <c r="G56" s="249"/>
      <c r="H56" s="249"/>
      <c r="I56" s="251"/>
      <c r="J56" s="251"/>
      <c r="K56" s="251"/>
      <c r="L56" s="251"/>
      <c r="M56" s="251"/>
      <c r="N56" s="251"/>
      <c r="O56" s="262"/>
      <c r="P56" s="263"/>
      <c r="Q56" s="264"/>
    </row>
    <row r="57" spans="1:17" ht="6.75" hidden="1" customHeight="1" x14ac:dyDescent="0.2">
      <c r="A57" s="249"/>
      <c r="B57" s="249"/>
      <c r="C57" s="249"/>
      <c r="D57" s="249"/>
      <c r="E57" s="249"/>
      <c r="F57" s="249"/>
      <c r="G57" s="249"/>
      <c r="H57" s="249"/>
      <c r="I57" s="251"/>
      <c r="J57" s="251"/>
      <c r="K57" s="251"/>
      <c r="L57" s="251"/>
      <c r="M57" s="251"/>
      <c r="N57" s="251"/>
      <c r="O57" s="262"/>
      <c r="P57" s="263"/>
      <c r="Q57" s="264"/>
    </row>
    <row r="58" spans="1:17" ht="12.75" hidden="1" customHeight="1" x14ac:dyDescent="0.2">
      <c r="A58" s="249"/>
      <c r="B58" s="249"/>
      <c r="C58" s="249"/>
      <c r="D58" s="249"/>
      <c r="E58" s="249"/>
      <c r="F58" s="249"/>
      <c r="G58" s="249"/>
      <c r="H58" s="249"/>
      <c r="I58" s="251"/>
      <c r="J58" s="251"/>
      <c r="K58" s="251"/>
      <c r="L58" s="251"/>
      <c r="M58" s="251"/>
      <c r="N58" s="251"/>
      <c r="O58" s="262"/>
      <c r="P58" s="263"/>
      <c r="Q58" s="264"/>
    </row>
    <row r="59" spans="1:17" ht="12.75" hidden="1" customHeight="1" x14ac:dyDescent="0.2">
      <c r="A59" s="249"/>
      <c r="B59" s="249"/>
      <c r="C59" s="249"/>
      <c r="D59" s="249"/>
      <c r="E59" s="249"/>
      <c r="F59" s="249"/>
      <c r="G59" s="249"/>
      <c r="H59" s="249"/>
      <c r="I59" s="251"/>
      <c r="J59" s="251"/>
      <c r="K59" s="251"/>
      <c r="L59" s="251"/>
      <c r="M59" s="251"/>
      <c r="N59" s="251"/>
      <c r="O59" s="262"/>
      <c r="P59" s="263"/>
      <c r="Q59" s="264"/>
    </row>
    <row r="60" spans="1:17" ht="12.75" hidden="1" customHeight="1" x14ac:dyDescent="0.2">
      <c r="A60" s="249"/>
      <c r="B60" s="249"/>
      <c r="C60" s="249"/>
      <c r="D60" s="249"/>
      <c r="E60" s="249"/>
      <c r="F60" s="249"/>
      <c r="G60" s="249"/>
      <c r="H60" s="249"/>
      <c r="I60" s="251"/>
      <c r="J60" s="251"/>
      <c r="K60" s="251"/>
      <c r="L60" s="251"/>
      <c r="M60" s="251"/>
      <c r="N60" s="251"/>
      <c r="O60" s="262"/>
      <c r="P60" s="263"/>
      <c r="Q60" s="264"/>
    </row>
    <row r="61" spans="1:17" ht="12.75" hidden="1" customHeight="1" x14ac:dyDescent="0.2">
      <c r="A61" s="249"/>
      <c r="B61" s="249"/>
      <c r="C61" s="249"/>
      <c r="D61" s="249"/>
      <c r="E61" s="249"/>
      <c r="F61" s="249"/>
      <c r="G61" s="249"/>
      <c r="H61" s="249"/>
      <c r="I61" s="251"/>
      <c r="J61" s="251"/>
      <c r="K61" s="251"/>
      <c r="L61" s="251"/>
      <c r="M61" s="251"/>
      <c r="N61" s="251"/>
      <c r="O61" s="265"/>
      <c r="P61" s="266"/>
      <c r="Q61" s="267"/>
    </row>
    <row r="62" spans="1:17" ht="15" customHeight="1" x14ac:dyDescent="0.2">
      <c r="A62" s="249"/>
      <c r="B62" s="249"/>
      <c r="C62" s="249"/>
      <c r="D62" s="249"/>
      <c r="E62" s="249"/>
      <c r="F62" s="249"/>
      <c r="G62" s="249"/>
      <c r="H62" s="249"/>
      <c r="I62" s="250" t="s">
        <v>177</v>
      </c>
      <c r="J62" s="251"/>
      <c r="K62" s="251"/>
      <c r="L62" s="251" t="s">
        <v>159</v>
      </c>
      <c r="M62" s="251"/>
      <c r="N62" s="251"/>
      <c r="O62" s="259">
        <f>875*Q3</f>
        <v>61250</v>
      </c>
      <c r="P62" s="260"/>
      <c r="Q62" s="261"/>
    </row>
    <row r="63" spans="1:17" ht="12.75" customHeight="1" x14ac:dyDescent="0.2">
      <c r="A63" s="249"/>
      <c r="B63" s="249"/>
      <c r="C63" s="249"/>
      <c r="D63" s="249"/>
      <c r="E63" s="249"/>
      <c r="F63" s="249"/>
      <c r="G63" s="249"/>
      <c r="H63" s="249"/>
      <c r="I63" s="251"/>
      <c r="J63" s="251"/>
      <c r="K63" s="251"/>
      <c r="L63" s="251"/>
      <c r="M63" s="251"/>
      <c r="N63" s="251"/>
      <c r="O63" s="262"/>
      <c r="P63" s="263"/>
      <c r="Q63" s="264"/>
    </row>
    <row r="64" spans="1:17" ht="5.45" customHeight="1" x14ac:dyDescent="0.2">
      <c r="A64" s="249"/>
      <c r="B64" s="249"/>
      <c r="C64" s="249"/>
      <c r="D64" s="249"/>
      <c r="E64" s="249"/>
      <c r="F64" s="249"/>
      <c r="G64" s="249"/>
      <c r="H64" s="249"/>
      <c r="I64" s="251"/>
      <c r="J64" s="251"/>
      <c r="K64" s="251"/>
      <c r="L64" s="251"/>
      <c r="M64" s="251"/>
      <c r="N64" s="251"/>
      <c r="O64" s="262"/>
      <c r="P64" s="263"/>
      <c r="Q64" s="264"/>
    </row>
    <row r="65" spans="1:17" ht="12.75" hidden="1" customHeight="1" x14ac:dyDescent="0.2">
      <c r="A65" s="249"/>
      <c r="B65" s="249"/>
      <c r="C65" s="249"/>
      <c r="D65" s="249"/>
      <c r="E65" s="249"/>
      <c r="F65" s="249"/>
      <c r="G65" s="249"/>
      <c r="H65" s="249"/>
      <c r="I65" s="251"/>
      <c r="J65" s="251"/>
      <c r="K65" s="251"/>
      <c r="L65" s="251"/>
      <c r="M65" s="251"/>
      <c r="N65" s="251"/>
      <c r="O65" s="262"/>
      <c r="P65" s="263"/>
      <c r="Q65" s="264"/>
    </row>
    <row r="66" spans="1:17" ht="12.75" hidden="1" customHeight="1" x14ac:dyDescent="0.2">
      <c r="A66" s="249"/>
      <c r="B66" s="249"/>
      <c r="C66" s="249"/>
      <c r="D66" s="249"/>
      <c r="E66" s="249"/>
      <c r="F66" s="249"/>
      <c r="G66" s="249"/>
      <c r="H66" s="249"/>
      <c r="I66" s="251"/>
      <c r="J66" s="251"/>
      <c r="K66" s="251"/>
      <c r="L66" s="251"/>
      <c r="M66" s="251"/>
      <c r="N66" s="251"/>
      <c r="O66" s="262"/>
      <c r="P66" s="263"/>
      <c r="Q66" s="264"/>
    </row>
    <row r="67" spans="1:17" ht="12.75" hidden="1" customHeight="1" x14ac:dyDescent="0.2">
      <c r="A67" s="249"/>
      <c r="B67" s="249"/>
      <c r="C67" s="249"/>
      <c r="D67" s="249"/>
      <c r="E67" s="249"/>
      <c r="F67" s="249"/>
      <c r="G67" s="249"/>
      <c r="H67" s="249"/>
      <c r="I67" s="251"/>
      <c r="J67" s="251"/>
      <c r="K67" s="251"/>
      <c r="L67" s="251"/>
      <c r="M67" s="251"/>
      <c r="N67" s="251"/>
      <c r="O67" s="262"/>
      <c r="P67" s="263"/>
      <c r="Q67" s="264"/>
    </row>
    <row r="68" spans="1:17" ht="18.75" hidden="1" customHeight="1" x14ac:dyDescent="0.2">
      <c r="A68" s="249"/>
      <c r="B68" s="249"/>
      <c r="C68" s="249"/>
      <c r="D68" s="249"/>
      <c r="E68" s="249"/>
      <c r="F68" s="249"/>
      <c r="G68" s="249"/>
      <c r="H68" s="249"/>
      <c r="I68" s="251"/>
      <c r="J68" s="251"/>
      <c r="K68" s="251"/>
      <c r="L68" s="251"/>
      <c r="M68" s="251"/>
      <c r="N68" s="251"/>
      <c r="O68" s="265"/>
      <c r="P68" s="266"/>
      <c r="Q68" s="267"/>
    </row>
    <row r="69" spans="1:17" ht="15" customHeight="1" x14ac:dyDescent="0.2">
      <c r="A69" s="249"/>
      <c r="B69" s="249"/>
      <c r="C69" s="249"/>
      <c r="D69" s="249"/>
      <c r="E69" s="249"/>
      <c r="F69" s="249"/>
      <c r="G69" s="249"/>
      <c r="H69" s="249"/>
      <c r="I69" s="250" t="s">
        <v>178</v>
      </c>
      <c r="J69" s="251"/>
      <c r="K69" s="251"/>
      <c r="L69" s="251" t="s">
        <v>159</v>
      </c>
      <c r="M69" s="251"/>
      <c r="N69" s="251"/>
      <c r="O69" s="259">
        <f>875*Q3</f>
        <v>61250</v>
      </c>
      <c r="P69" s="260"/>
      <c r="Q69" s="261"/>
    </row>
    <row r="70" spans="1:17" ht="12.75" customHeight="1" x14ac:dyDescent="0.2">
      <c r="A70" s="249"/>
      <c r="B70" s="249"/>
      <c r="C70" s="249"/>
      <c r="D70" s="249"/>
      <c r="E70" s="249"/>
      <c r="F70" s="249"/>
      <c r="G70" s="249"/>
      <c r="H70" s="249"/>
      <c r="I70" s="251"/>
      <c r="J70" s="251"/>
      <c r="K70" s="251"/>
      <c r="L70" s="251"/>
      <c r="M70" s="251"/>
      <c r="N70" s="251"/>
      <c r="O70" s="262"/>
      <c r="P70" s="263"/>
      <c r="Q70" s="264"/>
    </row>
    <row r="71" spans="1:17" ht="4.5" customHeight="1" x14ac:dyDescent="0.2">
      <c r="A71" s="249"/>
      <c r="B71" s="249"/>
      <c r="C71" s="249"/>
      <c r="D71" s="249"/>
      <c r="E71" s="249"/>
      <c r="F71" s="249"/>
      <c r="G71" s="249"/>
      <c r="H71" s="249"/>
      <c r="I71" s="251"/>
      <c r="J71" s="251"/>
      <c r="K71" s="251"/>
      <c r="L71" s="251"/>
      <c r="M71" s="251"/>
      <c r="N71" s="251"/>
      <c r="O71" s="262"/>
      <c r="P71" s="263"/>
      <c r="Q71" s="264"/>
    </row>
    <row r="72" spans="1:17" ht="1.7" hidden="1" customHeight="1" x14ac:dyDescent="0.2">
      <c r="A72" s="249"/>
      <c r="B72" s="249"/>
      <c r="C72" s="249"/>
      <c r="D72" s="249"/>
      <c r="E72" s="249"/>
      <c r="F72" s="249"/>
      <c r="G72" s="249"/>
      <c r="H72" s="249"/>
      <c r="I72" s="251"/>
      <c r="J72" s="251"/>
      <c r="K72" s="251"/>
      <c r="L72" s="251"/>
      <c r="M72" s="251"/>
      <c r="N72" s="251"/>
      <c r="O72" s="262"/>
      <c r="P72" s="263"/>
      <c r="Q72" s="264"/>
    </row>
    <row r="73" spans="1:17" ht="12.75" hidden="1" customHeight="1" x14ac:dyDescent="0.2">
      <c r="A73" s="249"/>
      <c r="B73" s="249"/>
      <c r="C73" s="249"/>
      <c r="D73" s="249"/>
      <c r="E73" s="249"/>
      <c r="F73" s="249"/>
      <c r="G73" s="249"/>
      <c r="H73" s="249"/>
      <c r="I73" s="251"/>
      <c r="J73" s="251"/>
      <c r="K73" s="251"/>
      <c r="L73" s="251"/>
      <c r="M73" s="251"/>
      <c r="N73" s="251"/>
      <c r="O73" s="262"/>
      <c r="P73" s="263"/>
      <c r="Q73" s="264"/>
    </row>
    <row r="74" spans="1:17" ht="12.75" hidden="1" customHeight="1" x14ac:dyDescent="0.2">
      <c r="A74" s="249"/>
      <c r="B74" s="249"/>
      <c r="C74" s="249"/>
      <c r="D74" s="249"/>
      <c r="E74" s="249"/>
      <c r="F74" s="249"/>
      <c r="G74" s="249"/>
      <c r="H74" s="249"/>
      <c r="I74" s="251"/>
      <c r="J74" s="251"/>
      <c r="K74" s="251"/>
      <c r="L74" s="251"/>
      <c r="M74" s="251"/>
      <c r="N74" s="251"/>
      <c r="O74" s="262"/>
      <c r="P74" s="263"/>
      <c r="Q74" s="264"/>
    </row>
    <row r="75" spans="1:17" ht="12.75" hidden="1" customHeight="1" x14ac:dyDescent="0.2">
      <c r="A75" s="249"/>
      <c r="B75" s="249"/>
      <c r="C75" s="249"/>
      <c r="D75" s="249"/>
      <c r="E75" s="249"/>
      <c r="F75" s="249"/>
      <c r="G75" s="249"/>
      <c r="H75" s="249"/>
      <c r="I75" s="251"/>
      <c r="J75" s="251"/>
      <c r="K75" s="251"/>
      <c r="L75" s="251"/>
      <c r="M75" s="251"/>
      <c r="N75" s="251"/>
      <c r="O75" s="262"/>
      <c r="P75" s="263"/>
      <c r="Q75" s="264"/>
    </row>
    <row r="76" spans="1:17" ht="12.75" hidden="1" customHeight="1" x14ac:dyDescent="0.2">
      <c r="A76" s="249"/>
      <c r="B76" s="249"/>
      <c r="C76" s="249"/>
      <c r="D76" s="249"/>
      <c r="E76" s="249"/>
      <c r="F76" s="249"/>
      <c r="G76" s="249"/>
      <c r="H76" s="249"/>
      <c r="I76" s="251"/>
      <c r="J76" s="251"/>
      <c r="K76" s="251"/>
      <c r="L76" s="251"/>
      <c r="M76" s="251"/>
      <c r="N76" s="251"/>
      <c r="O76" s="265"/>
      <c r="P76" s="266"/>
      <c r="Q76" s="267"/>
    </row>
    <row r="77" spans="1:17" ht="15" customHeight="1" x14ac:dyDescent="0.2">
      <c r="A77" s="249"/>
      <c r="B77" s="249"/>
      <c r="C77" s="249"/>
      <c r="D77" s="249"/>
      <c r="E77" s="249"/>
      <c r="F77" s="249"/>
      <c r="G77" s="249"/>
      <c r="H77" s="249"/>
      <c r="I77" s="250" t="s">
        <v>179</v>
      </c>
      <c r="J77" s="251"/>
      <c r="K77" s="251"/>
      <c r="L77" s="251" t="s">
        <v>159</v>
      </c>
      <c r="M77" s="251"/>
      <c r="N77" s="251"/>
      <c r="O77" s="259">
        <f>900*Q3</f>
        <v>63000</v>
      </c>
      <c r="P77" s="260"/>
      <c r="Q77" s="261"/>
    </row>
    <row r="78" spans="1:17" ht="12.75" customHeight="1" x14ac:dyDescent="0.2">
      <c r="A78" s="249"/>
      <c r="B78" s="249"/>
      <c r="C78" s="249"/>
      <c r="D78" s="249"/>
      <c r="E78" s="249"/>
      <c r="F78" s="249"/>
      <c r="G78" s="249"/>
      <c r="H78" s="249"/>
      <c r="I78" s="251"/>
      <c r="J78" s="251"/>
      <c r="K78" s="251"/>
      <c r="L78" s="251"/>
      <c r="M78" s="251"/>
      <c r="N78" s="251"/>
      <c r="O78" s="262"/>
      <c r="P78" s="263"/>
      <c r="Q78" s="264"/>
    </row>
    <row r="79" spans="1:17" ht="6" customHeight="1" x14ac:dyDescent="0.2">
      <c r="A79" s="249"/>
      <c r="B79" s="249"/>
      <c r="C79" s="249"/>
      <c r="D79" s="249"/>
      <c r="E79" s="249"/>
      <c r="F79" s="249"/>
      <c r="G79" s="249"/>
      <c r="H79" s="249"/>
      <c r="I79" s="251"/>
      <c r="J79" s="251"/>
      <c r="K79" s="251"/>
      <c r="L79" s="251"/>
      <c r="M79" s="251"/>
      <c r="N79" s="251"/>
      <c r="O79" s="262"/>
      <c r="P79" s="263"/>
      <c r="Q79" s="264"/>
    </row>
    <row r="80" spans="1:17" ht="10.5" hidden="1" customHeight="1" x14ac:dyDescent="0.2">
      <c r="A80" s="249"/>
      <c r="B80" s="249"/>
      <c r="C80" s="249"/>
      <c r="D80" s="249"/>
      <c r="E80" s="249"/>
      <c r="F80" s="249"/>
      <c r="G80" s="249"/>
      <c r="H80" s="249"/>
      <c r="I80" s="251"/>
      <c r="J80" s="251"/>
      <c r="K80" s="251"/>
      <c r="L80" s="251"/>
      <c r="M80" s="251"/>
      <c r="N80" s="251"/>
      <c r="O80" s="262"/>
      <c r="P80" s="263"/>
      <c r="Q80" s="264"/>
    </row>
    <row r="81" spans="1:17" ht="12.75" hidden="1" customHeight="1" x14ac:dyDescent="0.2">
      <c r="A81" s="249"/>
      <c r="B81" s="249"/>
      <c r="C81" s="249"/>
      <c r="D81" s="249"/>
      <c r="E81" s="249"/>
      <c r="F81" s="249"/>
      <c r="G81" s="249"/>
      <c r="H81" s="249"/>
      <c r="I81" s="251"/>
      <c r="J81" s="251"/>
      <c r="K81" s="251"/>
      <c r="L81" s="251"/>
      <c r="M81" s="251"/>
      <c r="N81" s="251"/>
      <c r="O81" s="262"/>
      <c r="P81" s="263"/>
      <c r="Q81" s="264"/>
    </row>
    <row r="82" spans="1:17" ht="12.75" hidden="1" customHeight="1" x14ac:dyDescent="0.2">
      <c r="A82" s="249"/>
      <c r="B82" s="249"/>
      <c r="C82" s="249"/>
      <c r="D82" s="249"/>
      <c r="E82" s="249"/>
      <c r="F82" s="249"/>
      <c r="G82" s="249"/>
      <c r="H82" s="249"/>
      <c r="I82" s="251"/>
      <c r="J82" s="251"/>
      <c r="K82" s="251"/>
      <c r="L82" s="251"/>
      <c r="M82" s="251"/>
      <c r="N82" s="251"/>
      <c r="O82" s="262"/>
      <c r="P82" s="263"/>
      <c r="Q82" s="264"/>
    </row>
    <row r="83" spans="1:17" ht="23.45" hidden="1" customHeight="1" x14ac:dyDescent="0.2">
      <c r="A83" s="249"/>
      <c r="B83" s="249"/>
      <c r="C83" s="249"/>
      <c r="D83" s="249"/>
      <c r="E83" s="249"/>
      <c r="F83" s="249"/>
      <c r="G83" s="249"/>
      <c r="H83" s="249"/>
      <c r="I83" s="251"/>
      <c r="J83" s="251"/>
      <c r="K83" s="251"/>
      <c r="L83" s="251"/>
      <c r="M83" s="251"/>
      <c r="N83" s="251"/>
      <c r="O83" s="265"/>
      <c r="P83" s="266"/>
      <c r="Q83" s="267"/>
    </row>
    <row r="84" spans="1:17" ht="15" customHeight="1" x14ac:dyDescent="0.2">
      <c r="A84" s="249"/>
      <c r="B84" s="249"/>
      <c r="C84" s="249"/>
      <c r="D84" s="249"/>
      <c r="E84" s="249"/>
      <c r="F84" s="249"/>
      <c r="G84" s="249"/>
      <c r="H84" s="249"/>
      <c r="I84" s="250" t="s">
        <v>180</v>
      </c>
      <c r="J84" s="251"/>
      <c r="K84" s="251"/>
      <c r="L84" s="251" t="s">
        <v>159</v>
      </c>
      <c r="M84" s="251"/>
      <c r="N84" s="251"/>
      <c r="O84" s="259">
        <f>900*Q3</f>
        <v>63000</v>
      </c>
      <c r="P84" s="260"/>
      <c r="Q84" s="261"/>
    </row>
    <row r="85" spans="1:17" ht="12.75" customHeight="1" x14ac:dyDescent="0.2">
      <c r="A85" s="249"/>
      <c r="B85" s="249"/>
      <c r="C85" s="249"/>
      <c r="D85" s="249"/>
      <c r="E85" s="249"/>
      <c r="F85" s="249"/>
      <c r="G85" s="249"/>
      <c r="H85" s="249"/>
      <c r="I85" s="251"/>
      <c r="J85" s="251"/>
      <c r="K85" s="251"/>
      <c r="L85" s="251"/>
      <c r="M85" s="251"/>
      <c r="N85" s="251"/>
      <c r="O85" s="262"/>
      <c r="P85" s="263"/>
      <c r="Q85" s="264"/>
    </row>
    <row r="86" spans="1:17" ht="9.1999999999999993" customHeight="1" x14ac:dyDescent="0.2">
      <c r="A86" s="249"/>
      <c r="B86" s="249"/>
      <c r="C86" s="249"/>
      <c r="D86" s="249"/>
      <c r="E86" s="249"/>
      <c r="F86" s="249"/>
      <c r="G86" s="249"/>
      <c r="H86" s="249"/>
      <c r="I86" s="251"/>
      <c r="J86" s="251"/>
      <c r="K86" s="251"/>
      <c r="L86" s="251"/>
      <c r="M86" s="251"/>
      <c r="N86" s="251"/>
      <c r="O86" s="262"/>
      <c r="P86" s="263"/>
      <c r="Q86" s="264"/>
    </row>
    <row r="87" spans="1:17" ht="6" hidden="1" customHeight="1" x14ac:dyDescent="0.2">
      <c r="A87" s="249"/>
      <c r="B87" s="249"/>
      <c r="C87" s="249"/>
      <c r="D87" s="249"/>
      <c r="E87" s="249"/>
      <c r="F87" s="249"/>
      <c r="G87" s="249"/>
      <c r="H87" s="249"/>
      <c r="I87" s="251"/>
      <c r="J87" s="251"/>
      <c r="K87" s="251"/>
      <c r="L87" s="251"/>
      <c r="M87" s="251"/>
      <c r="N87" s="251"/>
      <c r="O87" s="262"/>
      <c r="P87" s="263"/>
      <c r="Q87" s="264"/>
    </row>
    <row r="88" spans="1:17" ht="12.75" hidden="1" customHeight="1" x14ac:dyDescent="0.2">
      <c r="A88" s="249"/>
      <c r="B88" s="249"/>
      <c r="C88" s="249"/>
      <c r="D88" s="249"/>
      <c r="E88" s="249"/>
      <c r="F88" s="249"/>
      <c r="G88" s="249"/>
      <c r="H88" s="249"/>
      <c r="I88" s="251"/>
      <c r="J88" s="251"/>
      <c r="K88" s="251"/>
      <c r="L88" s="251"/>
      <c r="M88" s="251"/>
      <c r="N88" s="251"/>
      <c r="O88" s="262"/>
      <c r="P88" s="263"/>
      <c r="Q88" s="264"/>
    </row>
    <row r="89" spans="1:17" ht="12.75" hidden="1" customHeight="1" x14ac:dyDescent="0.2">
      <c r="A89" s="249"/>
      <c r="B89" s="249"/>
      <c r="C89" s="249"/>
      <c r="D89" s="249"/>
      <c r="E89" s="249"/>
      <c r="F89" s="249"/>
      <c r="G89" s="249"/>
      <c r="H89" s="249"/>
      <c r="I89" s="251"/>
      <c r="J89" s="251"/>
      <c r="K89" s="251"/>
      <c r="L89" s="251"/>
      <c r="M89" s="251"/>
      <c r="N89" s="251"/>
      <c r="O89" s="262"/>
      <c r="P89" s="263"/>
      <c r="Q89" s="264"/>
    </row>
    <row r="90" spans="1:17" ht="12.75" hidden="1" customHeight="1" x14ac:dyDescent="0.2">
      <c r="A90" s="249"/>
      <c r="B90" s="249"/>
      <c r="C90" s="249"/>
      <c r="D90" s="249"/>
      <c r="E90" s="249"/>
      <c r="F90" s="249"/>
      <c r="G90" s="249"/>
      <c r="H90" s="249"/>
      <c r="I90" s="251"/>
      <c r="J90" s="251"/>
      <c r="K90" s="251"/>
      <c r="L90" s="251"/>
      <c r="M90" s="251"/>
      <c r="N90" s="251"/>
      <c r="O90" s="262"/>
      <c r="P90" s="263"/>
      <c r="Q90" s="264"/>
    </row>
    <row r="91" spans="1:17" ht="18.75" hidden="1" customHeight="1" x14ac:dyDescent="0.2">
      <c r="A91" s="249"/>
      <c r="B91" s="249"/>
      <c r="C91" s="249"/>
      <c r="D91" s="249"/>
      <c r="E91" s="249"/>
      <c r="F91" s="249"/>
      <c r="G91" s="249"/>
      <c r="H91" s="249"/>
      <c r="I91" s="251"/>
      <c r="J91" s="251"/>
      <c r="K91" s="251"/>
      <c r="L91" s="251"/>
      <c r="M91" s="251"/>
      <c r="N91" s="251"/>
      <c r="O91" s="265"/>
      <c r="P91" s="266"/>
      <c r="Q91" s="267"/>
    </row>
    <row r="92" spans="1:17" ht="15" customHeight="1" x14ac:dyDescent="0.2">
      <c r="A92" s="249"/>
      <c r="B92" s="249"/>
      <c r="C92" s="249"/>
      <c r="D92" s="249"/>
      <c r="E92" s="249"/>
      <c r="F92" s="249"/>
      <c r="G92" s="249"/>
      <c r="H92" s="249"/>
      <c r="I92" s="250" t="s">
        <v>181</v>
      </c>
      <c r="J92" s="251"/>
      <c r="K92" s="251"/>
      <c r="L92" s="251" t="s">
        <v>159</v>
      </c>
      <c r="M92" s="251"/>
      <c r="N92" s="251"/>
      <c r="O92" s="259">
        <f>900*Q3</f>
        <v>63000</v>
      </c>
      <c r="P92" s="260"/>
      <c r="Q92" s="261"/>
    </row>
    <row r="93" spans="1:17" ht="12.75" customHeight="1" x14ac:dyDescent="0.2">
      <c r="A93" s="249"/>
      <c r="B93" s="249"/>
      <c r="C93" s="249"/>
      <c r="D93" s="249"/>
      <c r="E93" s="249"/>
      <c r="F93" s="249"/>
      <c r="G93" s="249"/>
      <c r="H93" s="249"/>
      <c r="I93" s="251"/>
      <c r="J93" s="251"/>
      <c r="K93" s="251"/>
      <c r="L93" s="251"/>
      <c r="M93" s="251"/>
      <c r="N93" s="251"/>
      <c r="O93" s="262"/>
      <c r="P93" s="263"/>
      <c r="Q93" s="264"/>
    </row>
    <row r="94" spans="1:17" ht="3" customHeight="1" x14ac:dyDescent="0.2">
      <c r="A94" s="249"/>
      <c r="B94" s="249"/>
      <c r="C94" s="249"/>
      <c r="D94" s="249"/>
      <c r="E94" s="249"/>
      <c r="F94" s="249"/>
      <c r="G94" s="249"/>
      <c r="H94" s="249"/>
      <c r="I94" s="251"/>
      <c r="J94" s="251"/>
      <c r="K94" s="251"/>
      <c r="L94" s="251"/>
      <c r="M94" s="251"/>
      <c r="N94" s="251"/>
      <c r="O94" s="262"/>
      <c r="P94" s="263"/>
      <c r="Q94" s="264"/>
    </row>
    <row r="95" spans="1:17" ht="1.7" hidden="1" customHeight="1" x14ac:dyDescent="0.2">
      <c r="A95" s="249"/>
      <c r="B95" s="249"/>
      <c r="C95" s="249"/>
      <c r="D95" s="249"/>
      <c r="E95" s="249"/>
      <c r="F95" s="249"/>
      <c r="G95" s="249"/>
      <c r="H95" s="249"/>
      <c r="I95" s="251"/>
      <c r="J95" s="251"/>
      <c r="K95" s="251"/>
      <c r="L95" s="251"/>
      <c r="M95" s="251"/>
      <c r="N95" s="251"/>
      <c r="O95" s="262"/>
      <c r="P95" s="263"/>
      <c r="Q95" s="264"/>
    </row>
    <row r="96" spans="1:17" ht="12.75" hidden="1" customHeight="1" x14ac:dyDescent="0.2">
      <c r="A96" s="249"/>
      <c r="B96" s="249"/>
      <c r="C96" s="249"/>
      <c r="D96" s="249"/>
      <c r="E96" s="249"/>
      <c r="F96" s="249"/>
      <c r="G96" s="249"/>
      <c r="H96" s="249"/>
      <c r="I96" s="251"/>
      <c r="J96" s="251"/>
      <c r="K96" s="251"/>
      <c r="L96" s="251"/>
      <c r="M96" s="251"/>
      <c r="N96" s="251"/>
      <c r="O96" s="262"/>
      <c r="P96" s="263"/>
      <c r="Q96" s="264"/>
    </row>
    <row r="97" spans="1:17" ht="12.75" hidden="1" customHeight="1" x14ac:dyDescent="0.2">
      <c r="A97" s="249"/>
      <c r="B97" s="249"/>
      <c r="C97" s="249"/>
      <c r="D97" s="249"/>
      <c r="E97" s="249"/>
      <c r="F97" s="249"/>
      <c r="G97" s="249"/>
      <c r="H97" s="249"/>
      <c r="I97" s="251"/>
      <c r="J97" s="251"/>
      <c r="K97" s="251"/>
      <c r="L97" s="251"/>
      <c r="M97" s="251"/>
      <c r="N97" s="251"/>
      <c r="O97" s="262"/>
      <c r="P97" s="263"/>
      <c r="Q97" s="264"/>
    </row>
    <row r="98" spans="1:17" ht="21" hidden="1" customHeight="1" x14ac:dyDescent="0.2">
      <c r="A98" s="249"/>
      <c r="B98" s="249"/>
      <c r="C98" s="249"/>
      <c r="D98" s="249"/>
      <c r="E98" s="249"/>
      <c r="F98" s="249"/>
      <c r="G98" s="249"/>
      <c r="H98" s="249"/>
      <c r="I98" s="251"/>
      <c r="J98" s="251"/>
      <c r="K98" s="251"/>
      <c r="L98" s="251"/>
      <c r="M98" s="251"/>
      <c r="N98" s="251"/>
      <c r="O98" s="265"/>
      <c r="P98" s="266"/>
      <c r="Q98" s="267"/>
    </row>
    <row r="99" spans="1:17" ht="15" customHeight="1" x14ac:dyDescent="0.2">
      <c r="A99" s="249"/>
      <c r="B99" s="249"/>
      <c r="C99" s="249"/>
      <c r="D99" s="249"/>
      <c r="E99" s="249"/>
      <c r="F99" s="249"/>
      <c r="G99" s="249"/>
      <c r="H99" s="249"/>
      <c r="I99" s="250" t="s">
        <v>182</v>
      </c>
      <c r="J99" s="251"/>
      <c r="K99" s="251"/>
      <c r="L99" s="251" t="s">
        <v>159</v>
      </c>
      <c r="M99" s="251"/>
      <c r="N99" s="251"/>
      <c r="O99" s="259">
        <f>900*Q3</f>
        <v>63000</v>
      </c>
      <c r="P99" s="260"/>
      <c r="Q99" s="261"/>
    </row>
    <row r="100" spans="1:17" ht="12.75" customHeight="1" x14ac:dyDescent="0.2">
      <c r="A100" s="249"/>
      <c r="B100" s="249"/>
      <c r="C100" s="249"/>
      <c r="D100" s="249"/>
      <c r="E100" s="249"/>
      <c r="F100" s="249"/>
      <c r="G100" s="249"/>
      <c r="H100" s="249"/>
      <c r="I100" s="251"/>
      <c r="J100" s="251"/>
      <c r="K100" s="251"/>
      <c r="L100" s="251"/>
      <c r="M100" s="251"/>
      <c r="N100" s="251"/>
      <c r="O100" s="262"/>
      <c r="P100" s="263"/>
      <c r="Q100" s="264"/>
    </row>
    <row r="101" spans="1:17" ht="4.5" customHeight="1" x14ac:dyDescent="0.2">
      <c r="A101" s="249"/>
      <c r="B101" s="249"/>
      <c r="C101" s="249"/>
      <c r="D101" s="249"/>
      <c r="E101" s="249"/>
      <c r="F101" s="249"/>
      <c r="G101" s="249"/>
      <c r="H101" s="249"/>
      <c r="I101" s="251"/>
      <c r="J101" s="251"/>
      <c r="K101" s="251"/>
      <c r="L101" s="251"/>
      <c r="M101" s="251"/>
      <c r="N101" s="251"/>
      <c r="O101" s="262"/>
      <c r="P101" s="263"/>
      <c r="Q101" s="264"/>
    </row>
    <row r="102" spans="1:17" ht="12.75" hidden="1" customHeight="1" x14ac:dyDescent="0.2">
      <c r="A102" s="249"/>
      <c r="B102" s="249"/>
      <c r="C102" s="249"/>
      <c r="D102" s="249"/>
      <c r="E102" s="249"/>
      <c r="F102" s="249"/>
      <c r="G102" s="249"/>
      <c r="H102" s="249"/>
      <c r="I102" s="251"/>
      <c r="J102" s="251"/>
      <c r="K102" s="251"/>
      <c r="L102" s="251"/>
      <c r="M102" s="251"/>
      <c r="N102" s="251"/>
      <c r="O102" s="262"/>
      <c r="P102" s="263"/>
      <c r="Q102" s="264"/>
    </row>
    <row r="103" spans="1:17" ht="12.75" hidden="1" customHeight="1" x14ac:dyDescent="0.2">
      <c r="A103" s="249"/>
      <c r="B103" s="249"/>
      <c r="C103" s="249"/>
      <c r="D103" s="249"/>
      <c r="E103" s="249"/>
      <c r="F103" s="249"/>
      <c r="G103" s="249"/>
      <c r="H103" s="249"/>
      <c r="I103" s="251"/>
      <c r="J103" s="251"/>
      <c r="K103" s="251"/>
      <c r="L103" s="251"/>
      <c r="M103" s="251"/>
      <c r="N103" s="251"/>
      <c r="O103" s="262"/>
      <c r="P103" s="263"/>
      <c r="Q103" s="264"/>
    </row>
    <row r="104" spans="1:17" ht="12.75" hidden="1" customHeight="1" x14ac:dyDescent="0.2">
      <c r="A104" s="249"/>
      <c r="B104" s="249"/>
      <c r="C104" s="249"/>
      <c r="D104" s="249"/>
      <c r="E104" s="249"/>
      <c r="F104" s="249"/>
      <c r="G104" s="249"/>
      <c r="H104" s="249"/>
      <c r="I104" s="251"/>
      <c r="J104" s="251"/>
      <c r="K104" s="251"/>
      <c r="L104" s="251"/>
      <c r="M104" s="251"/>
      <c r="N104" s="251"/>
      <c r="O104" s="262"/>
      <c r="P104" s="263"/>
      <c r="Q104" s="264"/>
    </row>
    <row r="105" spans="1:17" ht="29.25" hidden="1" customHeight="1" thickBot="1" x14ac:dyDescent="0.25">
      <c r="A105" s="249"/>
      <c r="B105" s="249"/>
      <c r="C105" s="249"/>
      <c r="D105" s="249"/>
      <c r="E105" s="249"/>
      <c r="F105" s="249"/>
      <c r="G105" s="249"/>
      <c r="H105" s="249"/>
      <c r="I105" s="251"/>
      <c r="J105" s="251"/>
      <c r="K105" s="251"/>
      <c r="L105" s="251"/>
      <c r="M105" s="251"/>
      <c r="N105" s="251"/>
      <c r="O105" s="265"/>
      <c r="P105" s="266"/>
      <c r="Q105" s="267"/>
    </row>
    <row r="106" spans="1:17" ht="12.75" customHeight="1" x14ac:dyDescent="0.2">
      <c r="A106" s="269" t="s">
        <v>184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74" t="s">
        <v>135</v>
      </c>
      <c r="M106" s="275"/>
      <c r="N106" s="275"/>
      <c r="O106" s="238">
        <f>78.44*Q3</f>
        <v>5490.8</v>
      </c>
      <c r="P106" s="239"/>
      <c r="Q106" s="240"/>
    </row>
    <row r="107" spans="1:17" ht="12.75" customHeight="1" x14ac:dyDescent="0.2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75"/>
      <c r="M107" s="275"/>
      <c r="N107" s="275"/>
      <c r="O107" s="271"/>
      <c r="P107" s="272"/>
      <c r="Q107" s="273"/>
    </row>
    <row r="108" spans="1:17" ht="8.25" customHeight="1" x14ac:dyDescent="0.2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75"/>
      <c r="M108" s="275"/>
      <c r="N108" s="275"/>
      <c r="O108" s="271"/>
      <c r="P108" s="272"/>
      <c r="Q108" s="273"/>
    </row>
    <row r="109" spans="1:17" ht="9.1999999999999993" customHeight="1" x14ac:dyDescent="0.2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75"/>
      <c r="M109" s="275"/>
      <c r="N109" s="275"/>
      <c r="O109" s="241"/>
      <c r="P109" s="242"/>
      <c r="Q109" s="243"/>
    </row>
    <row r="110" spans="1:17" ht="33" customHeight="1" x14ac:dyDescent="0.2">
      <c r="A110" s="244" t="s">
        <v>198</v>
      </c>
      <c r="B110" s="245"/>
      <c r="C110" s="245"/>
      <c r="D110" s="245"/>
      <c r="E110" s="245"/>
      <c r="F110" s="245"/>
      <c r="G110" s="245"/>
      <c r="H110" s="245"/>
      <c r="I110" s="245"/>
      <c r="J110" s="245"/>
      <c r="K110" s="246"/>
      <c r="L110" s="226" t="s">
        <v>135</v>
      </c>
      <c r="M110" s="227"/>
      <c r="N110" s="228"/>
      <c r="O110" s="229">
        <v>3722</v>
      </c>
      <c r="P110" s="230"/>
      <c r="Q110" s="231"/>
    </row>
    <row r="111" spans="1:17" ht="12.75" customHeight="1" x14ac:dyDescent="0.2">
      <c r="A111" s="269" t="s">
        <v>183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 t="s">
        <v>135</v>
      </c>
      <c r="M111" s="270"/>
      <c r="N111" s="270"/>
      <c r="O111" s="238">
        <f>45.81*Q3</f>
        <v>3206.7000000000003</v>
      </c>
      <c r="P111" s="239"/>
      <c r="Q111" s="240"/>
    </row>
    <row r="112" spans="1:17" ht="12.75" customHeight="1" x14ac:dyDescent="0.2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70"/>
      <c r="M112" s="270"/>
      <c r="N112" s="270"/>
      <c r="O112" s="271"/>
      <c r="P112" s="272"/>
      <c r="Q112" s="273"/>
    </row>
    <row r="113" spans="1:17" ht="10.5" customHeight="1" x14ac:dyDescent="0.2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70"/>
      <c r="M113" s="270"/>
      <c r="N113" s="270"/>
      <c r="O113" s="271"/>
      <c r="P113" s="272"/>
      <c r="Q113" s="273"/>
    </row>
    <row r="114" spans="1:17" ht="27.2" hidden="1" customHeight="1" x14ac:dyDescent="0.2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70"/>
      <c r="M114" s="270"/>
      <c r="N114" s="270"/>
      <c r="O114" s="241"/>
      <c r="P114" s="242"/>
      <c r="Q114" s="243"/>
    </row>
    <row r="115" spans="1:17" ht="29.25" customHeight="1" x14ac:dyDescent="0.2">
      <c r="A115" s="244" t="s">
        <v>199</v>
      </c>
      <c r="B115" s="245"/>
      <c r="C115" s="245"/>
      <c r="D115" s="245"/>
      <c r="E115" s="245"/>
      <c r="F115" s="245"/>
      <c r="G115" s="245"/>
      <c r="H115" s="245"/>
      <c r="I115" s="245"/>
      <c r="J115" s="245"/>
      <c r="K115" s="246"/>
      <c r="L115" s="226" t="s">
        <v>135</v>
      </c>
      <c r="M115" s="227"/>
      <c r="N115" s="228"/>
      <c r="O115" s="229">
        <v>2174</v>
      </c>
      <c r="P115" s="230"/>
      <c r="Q115" s="231"/>
    </row>
    <row r="116" spans="1:17" ht="12.75" customHeight="1" x14ac:dyDescent="0.2">
      <c r="A116" s="269" t="s">
        <v>197</v>
      </c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 t="s">
        <v>135</v>
      </c>
      <c r="M116" s="270"/>
      <c r="N116" s="270"/>
      <c r="O116" s="238">
        <f>19.83*Q3</f>
        <v>1388.1</v>
      </c>
      <c r="P116" s="239"/>
      <c r="Q116" s="240"/>
    </row>
    <row r="117" spans="1:17" ht="12.75" customHeight="1" x14ac:dyDescent="0.2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70"/>
      <c r="M117" s="270"/>
      <c r="N117" s="270"/>
      <c r="O117" s="271"/>
      <c r="P117" s="272"/>
      <c r="Q117" s="273"/>
    </row>
    <row r="118" spans="1:17" ht="8.25" customHeight="1" x14ac:dyDescent="0.2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70"/>
      <c r="M118" s="270"/>
      <c r="N118" s="270"/>
      <c r="O118" s="271"/>
      <c r="P118" s="272"/>
      <c r="Q118" s="273"/>
    </row>
    <row r="119" spans="1:17" ht="5.45" customHeight="1" x14ac:dyDescent="0.2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70"/>
      <c r="M119" s="270"/>
      <c r="N119" s="270"/>
      <c r="O119" s="271"/>
      <c r="P119" s="272"/>
      <c r="Q119" s="273"/>
    </row>
    <row r="120" spans="1:17" ht="3.75" hidden="1" customHeight="1" x14ac:dyDescent="0.2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70"/>
      <c r="M120" s="270"/>
      <c r="N120" s="270"/>
      <c r="O120" s="241"/>
      <c r="P120" s="242"/>
      <c r="Q120" s="243"/>
    </row>
    <row r="121" spans="1:17" ht="32.25" customHeight="1" x14ac:dyDescent="0.2">
      <c r="A121" s="244" t="s">
        <v>200</v>
      </c>
      <c r="B121" s="245"/>
      <c r="C121" s="245"/>
      <c r="D121" s="245"/>
      <c r="E121" s="245"/>
      <c r="F121" s="245"/>
      <c r="G121" s="245"/>
      <c r="H121" s="245"/>
      <c r="I121" s="245"/>
      <c r="J121" s="245"/>
      <c r="K121" s="246"/>
      <c r="L121" s="226" t="s">
        <v>135</v>
      </c>
      <c r="M121" s="227"/>
      <c r="N121" s="228"/>
      <c r="O121" s="229">
        <v>1011</v>
      </c>
      <c r="P121" s="230"/>
      <c r="Q121" s="231"/>
    </row>
    <row r="122" spans="1:17" ht="51" customHeight="1" x14ac:dyDescent="0.2">
      <c r="A122" s="269"/>
      <c r="B122" s="269"/>
      <c r="C122" s="269"/>
      <c r="D122" s="269"/>
      <c r="E122" s="269"/>
      <c r="F122" s="269"/>
      <c r="G122" s="232" t="s">
        <v>205</v>
      </c>
      <c r="H122" s="233"/>
      <c r="I122" s="233"/>
      <c r="J122" s="233"/>
      <c r="K122" s="234"/>
      <c r="L122" s="232" t="s">
        <v>135</v>
      </c>
      <c r="M122" s="233"/>
      <c r="N122" s="234"/>
      <c r="O122" s="238">
        <v>237</v>
      </c>
      <c r="P122" s="239"/>
      <c r="Q122" s="240"/>
    </row>
    <row r="123" spans="1:17" ht="51" customHeight="1" x14ac:dyDescent="0.2">
      <c r="A123" s="269"/>
      <c r="B123" s="269"/>
      <c r="C123" s="269"/>
      <c r="D123" s="269"/>
      <c r="E123" s="269"/>
      <c r="F123" s="269"/>
      <c r="G123" s="235"/>
      <c r="H123" s="236"/>
      <c r="I123" s="236"/>
      <c r="J123" s="236"/>
      <c r="K123" s="237"/>
      <c r="L123" s="235"/>
      <c r="M123" s="236"/>
      <c r="N123" s="237"/>
      <c r="O123" s="241"/>
      <c r="P123" s="242"/>
      <c r="Q123" s="243"/>
    </row>
    <row r="124" spans="1:17" ht="51" customHeight="1" x14ac:dyDescent="0.2">
      <c r="A124" s="270"/>
      <c r="B124" s="270"/>
      <c r="C124" s="270"/>
      <c r="D124" s="270"/>
      <c r="E124" s="270"/>
      <c r="F124" s="270"/>
      <c r="G124" s="269" t="s">
        <v>206</v>
      </c>
      <c r="H124" s="270"/>
      <c r="I124" s="270"/>
      <c r="J124" s="270"/>
      <c r="K124" s="270"/>
      <c r="L124" s="269" t="s">
        <v>136</v>
      </c>
      <c r="M124" s="270"/>
      <c r="N124" s="270"/>
      <c r="O124" s="229">
        <v>38</v>
      </c>
      <c r="P124" s="230"/>
      <c r="Q124" s="231"/>
    </row>
    <row r="125" spans="1:17" ht="51" customHeight="1" x14ac:dyDescent="0.2">
      <c r="A125" s="270"/>
      <c r="B125" s="270"/>
      <c r="C125" s="270"/>
      <c r="D125" s="270"/>
      <c r="E125" s="270"/>
      <c r="F125" s="270"/>
      <c r="G125" s="269" t="s">
        <v>211</v>
      </c>
      <c r="H125" s="270"/>
      <c r="I125" s="270"/>
      <c r="J125" s="270"/>
      <c r="K125" s="270"/>
      <c r="L125" s="269" t="s">
        <v>136</v>
      </c>
      <c r="M125" s="270"/>
      <c r="N125" s="270"/>
      <c r="O125" s="229">
        <v>135</v>
      </c>
      <c r="P125" s="230"/>
      <c r="Q125" s="231"/>
    </row>
    <row r="126" spans="1:17" ht="51" customHeight="1" x14ac:dyDescent="0.2">
      <c r="A126" s="270"/>
      <c r="B126" s="270"/>
      <c r="C126" s="270"/>
      <c r="D126" s="270"/>
      <c r="E126" s="270"/>
      <c r="F126" s="270"/>
      <c r="G126" s="269" t="s">
        <v>212</v>
      </c>
      <c r="H126" s="270"/>
      <c r="I126" s="270"/>
      <c r="J126" s="270"/>
      <c r="K126" s="270"/>
      <c r="L126" s="269" t="s">
        <v>136</v>
      </c>
      <c r="M126" s="270"/>
      <c r="N126" s="270"/>
      <c r="O126" s="277">
        <v>20</v>
      </c>
      <c r="P126" s="230"/>
      <c r="Q126" s="231"/>
    </row>
    <row r="127" spans="1:17" ht="12.75" customHeight="1" x14ac:dyDescent="0.2">
      <c r="A127" s="276" t="s">
        <v>196</v>
      </c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</row>
    <row r="128" spans="1:17" ht="13.5" customHeight="1" x14ac:dyDescent="0.2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</row>
    <row r="129" spans="1:17" ht="12.75" customHeight="1" x14ac:dyDescent="0.2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</row>
    <row r="130" spans="1:17" ht="12.75" customHeight="1" x14ac:dyDescent="0.2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</row>
    <row r="131" spans="1:17" ht="12.75" customHeight="1" x14ac:dyDescent="0.2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</row>
    <row r="132" spans="1:17" ht="12.75" customHeight="1" x14ac:dyDescent="0.2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</row>
    <row r="133" spans="1:17" ht="12.75" customHeight="1" x14ac:dyDescent="0.2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</row>
    <row r="134" spans="1:17" ht="12.75" customHeight="1" x14ac:dyDescent="0.2"/>
  </sheetData>
  <mergeCells count="85">
    <mergeCell ref="A127:Q133"/>
    <mergeCell ref="A125:F125"/>
    <mergeCell ref="G125:K125"/>
    <mergeCell ref="L125:N125"/>
    <mergeCell ref="O125:Q125"/>
    <mergeCell ref="A126:F126"/>
    <mergeCell ref="G126:K126"/>
    <mergeCell ref="L126:N126"/>
    <mergeCell ref="O126:Q126"/>
    <mergeCell ref="O16:Q23"/>
    <mergeCell ref="I16:K23"/>
    <mergeCell ref="L16:N23"/>
    <mergeCell ref="L99:N105"/>
    <mergeCell ref="O99:Q105"/>
    <mergeCell ref="I99:K105"/>
    <mergeCell ref="I69:K76"/>
    <mergeCell ref="O69:Q76"/>
    <mergeCell ref="L24:N31"/>
    <mergeCell ref="O24:Q31"/>
    <mergeCell ref="I24:K31"/>
    <mergeCell ref="L62:N68"/>
    <mergeCell ref="O62:Q68"/>
    <mergeCell ref="I62:K68"/>
    <mergeCell ref="L69:N76"/>
    <mergeCell ref="L92:N98"/>
    <mergeCell ref="L124:N124"/>
    <mergeCell ref="O124:Q124"/>
    <mergeCell ref="A106:K109"/>
    <mergeCell ref="A122:F122"/>
    <mergeCell ref="A123:F123"/>
    <mergeCell ref="A124:F124"/>
    <mergeCell ref="G124:K124"/>
    <mergeCell ref="A116:K120"/>
    <mergeCell ref="L116:N120"/>
    <mergeCell ref="O116:Q120"/>
    <mergeCell ref="L106:N109"/>
    <mergeCell ref="O106:Q109"/>
    <mergeCell ref="L111:N114"/>
    <mergeCell ref="O111:Q114"/>
    <mergeCell ref="A111:K114"/>
    <mergeCell ref="A110:K110"/>
    <mergeCell ref="O92:Q98"/>
    <mergeCell ref="I92:K98"/>
    <mergeCell ref="L77:N83"/>
    <mergeCell ref="O77:Q83"/>
    <mergeCell ref="I77:K83"/>
    <mergeCell ref="L84:N91"/>
    <mergeCell ref="O84:Q91"/>
    <mergeCell ref="I84:K91"/>
    <mergeCell ref="A8:H105"/>
    <mergeCell ref="L32:N38"/>
    <mergeCell ref="O32:Q38"/>
    <mergeCell ref="I32:K38"/>
    <mergeCell ref="L39:N46"/>
    <mergeCell ref="I39:K46"/>
    <mergeCell ref="O39:Q46"/>
    <mergeCell ref="L47:N53"/>
    <mergeCell ref="O47:Q53"/>
    <mergeCell ref="I47:K53"/>
    <mergeCell ref="L54:N61"/>
    <mergeCell ref="O54:Q61"/>
    <mergeCell ref="I54:K61"/>
    <mergeCell ref="I8:K15"/>
    <mergeCell ref="L8:N15"/>
    <mergeCell ref="O8:Q15"/>
    <mergeCell ref="A1:Q1"/>
    <mergeCell ref="A2:Q2"/>
    <mergeCell ref="A5:H7"/>
    <mergeCell ref="I5:K7"/>
    <mergeCell ref="L5:N7"/>
    <mergeCell ref="O5:Q7"/>
    <mergeCell ref="H4:Q4"/>
    <mergeCell ref="A4:G4"/>
    <mergeCell ref="A3:P3"/>
    <mergeCell ref="L110:N110"/>
    <mergeCell ref="O110:Q110"/>
    <mergeCell ref="G122:K123"/>
    <mergeCell ref="L122:N123"/>
    <mergeCell ref="O122:Q123"/>
    <mergeCell ref="A115:K115"/>
    <mergeCell ref="L115:N115"/>
    <mergeCell ref="O115:Q115"/>
    <mergeCell ref="A121:K121"/>
    <mergeCell ref="L121:N121"/>
    <mergeCell ref="O121:Q121"/>
  </mergeCells>
  <hyperlinks>
    <hyperlink ref="H4:Q4" r:id="rId1" display="http://inlux-m.ru/catalog/komplanarnaya_sistema_razdvizheniya_dverey_opk/"/>
  </hyperlinks>
  <pageMargins left="0.7" right="0.7" top="0.75" bottom="0.75" header="0.3" footer="0.3"/>
  <pageSetup paperSize="9" scale="64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Система Elite</vt:lpstr>
      <vt:lpstr>Фурнитура Elite</vt:lpstr>
      <vt:lpstr>Направляющие King Slide</vt:lpstr>
      <vt:lpstr>Система Soft-L</vt:lpstr>
      <vt:lpstr>Система Lux-L</vt:lpstr>
      <vt:lpstr>Рамочный МДФ профиль</vt:lpstr>
      <vt:lpstr>Компланарная система OPK</vt:lpstr>
      <vt:lpstr>'Компланарная система OPK'!Область_печати</vt:lpstr>
      <vt:lpstr>'Направляющие King Slide'!Область_печати</vt:lpstr>
      <vt:lpstr>'Рамочный МДФ профиль'!Область_печати</vt:lpstr>
      <vt:lpstr>'Система Elite'!Область_печати</vt:lpstr>
      <vt:lpstr>'Система Lux-L'!Область_печати</vt:lpstr>
      <vt:lpstr>'Система Soft-L'!Область_печати</vt:lpstr>
      <vt:lpstr>'Фурнитура Elite'!Область_печати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IronMan-2</cp:lastModifiedBy>
  <cp:lastPrinted>2016-02-17T12:23:31Z</cp:lastPrinted>
  <dcterms:created xsi:type="dcterms:W3CDTF">1996-10-08T23:32:33Z</dcterms:created>
  <dcterms:modified xsi:type="dcterms:W3CDTF">2016-03-15T08:22:23Z</dcterms:modified>
</cp:coreProperties>
</file>